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961\"/>
    </mc:Choice>
  </mc:AlternateContent>
  <xr:revisionPtr revIDLastSave="0" documentId="13_ncr:1_{742AA97F-0442-49E8-966F-6B8F876A5C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-2030" sheetId="1" r:id="rId1"/>
  </sheets>
  <definedNames>
    <definedName name="_xlnm._FilterDatabase" localSheetId="0" hidden="1">'2023-2030'!$A$4:$J$273</definedName>
    <definedName name="_xlnm.Print_Titles" localSheetId="0">'2023-2030'!$4:$8</definedName>
    <definedName name="_xlnm.Print_Area" localSheetId="0">'2023-2030'!$A$1:$J$280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4" i="1" l="1"/>
  <c r="F190" i="1"/>
  <c r="F189" i="1"/>
  <c r="F162" i="1"/>
  <c r="F83" i="1" l="1"/>
  <c r="F82" i="1"/>
  <c r="F41" i="1"/>
  <c r="F48" i="1" l="1"/>
  <c r="F46" i="1"/>
  <c r="F47" i="1"/>
  <c r="F53" i="1"/>
  <c r="F40" i="1"/>
  <c r="F39" i="1"/>
  <c r="F34" i="1"/>
  <c r="F27" i="1" l="1"/>
  <c r="F197" i="1" l="1"/>
  <c r="J200" i="1" l="1"/>
  <c r="G200" i="1"/>
  <c r="H200" i="1"/>
  <c r="J193" i="1" l="1"/>
  <c r="J190" i="1"/>
  <c r="J162" i="1"/>
  <c r="J83" i="1"/>
  <c r="J69" i="1"/>
  <c r="J41" i="1"/>
  <c r="J44" i="1"/>
  <c r="J34" i="1"/>
  <c r="J27" i="1"/>
  <c r="J30" i="1"/>
  <c r="F165" i="1"/>
  <c r="G76" i="1" l="1"/>
  <c r="F69" i="1" l="1"/>
  <c r="F44" i="1" l="1"/>
  <c r="F207" i="1" l="1"/>
  <c r="J129" i="1"/>
  <c r="J126" i="1"/>
  <c r="I129" i="1"/>
  <c r="I126" i="1"/>
  <c r="H129" i="1"/>
  <c r="H126" i="1"/>
  <c r="G129" i="1"/>
  <c r="G126" i="1"/>
  <c r="F129" i="1"/>
  <c r="F126" i="1"/>
  <c r="J119" i="1"/>
  <c r="I119" i="1"/>
  <c r="H119" i="1"/>
  <c r="G119" i="1"/>
  <c r="F119" i="1"/>
  <c r="J112" i="1"/>
  <c r="I112" i="1"/>
  <c r="H112" i="1"/>
  <c r="G112" i="1"/>
  <c r="F115" i="1"/>
  <c r="F112" i="1"/>
  <c r="H62" i="1"/>
  <c r="H61" i="1"/>
  <c r="H60" i="1"/>
  <c r="G62" i="1"/>
  <c r="G61" i="1"/>
  <c r="G60" i="1"/>
  <c r="F62" i="1"/>
  <c r="F61" i="1"/>
  <c r="F60" i="1"/>
  <c r="E23" i="1"/>
  <c r="E22" i="1"/>
  <c r="E21" i="1"/>
  <c r="E20" i="1"/>
  <c r="E19" i="1"/>
  <c r="E18" i="1"/>
  <c r="J17" i="1"/>
  <c r="I17" i="1"/>
  <c r="H17" i="1"/>
  <c r="G17" i="1"/>
  <c r="F17" i="1"/>
  <c r="E17" i="1" l="1"/>
  <c r="E65" i="1"/>
  <c r="E64" i="1"/>
  <c r="E63" i="1"/>
  <c r="E62" i="1"/>
  <c r="E61" i="1"/>
  <c r="E60" i="1"/>
  <c r="J59" i="1"/>
  <c r="I59" i="1"/>
  <c r="H59" i="1"/>
  <c r="G59" i="1"/>
  <c r="F59" i="1"/>
  <c r="E59" i="1" l="1"/>
  <c r="H266" i="1"/>
  <c r="I266" i="1"/>
  <c r="F266" i="1"/>
  <c r="J207" i="1" l="1"/>
  <c r="E207" i="1" s="1"/>
  <c r="E206" i="1"/>
  <c r="E205" i="1"/>
  <c r="J204" i="1"/>
  <c r="E204" i="1" s="1"/>
  <c r="E203" i="1"/>
  <c r="E202" i="1"/>
  <c r="J201" i="1"/>
  <c r="I201" i="1"/>
  <c r="H201" i="1"/>
  <c r="G201" i="1"/>
  <c r="F201" i="1"/>
  <c r="E199" i="1"/>
  <c r="E198" i="1"/>
  <c r="E197" i="1"/>
  <c r="E196" i="1"/>
  <c r="E195" i="1"/>
  <c r="J194" i="1"/>
  <c r="I194" i="1"/>
  <c r="H194" i="1"/>
  <c r="G194" i="1"/>
  <c r="F194" i="1"/>
  <c r="E200" i="1" l="1"/>
  <c r="G266" i="1"/>
  <c r="E201" i="1"/>
  <c r="E194" i="1"/>
  <c r="I280" i="1"/>
  <c r="I279" i="1"/>
  <c r="I278" i="1"/>
  <c r="I277" i="1"/>
  <c r="I276" i="1"/>
  <c r="I275" i="1"/>
  <c r="I273" i="1"/>
  <c r="I272" i="1"/>
  <c r="I271" i="1"/>
  <c r="I270" i="1"/>
  <c r="I269" i="1"/>
  <c r="I268" i="1"/>
  <c r="I265" i="1"/>
  <c r="I264" i="1"/>
  <c r="I263" i="1"/>
  <c r="I262" i="1"/>
  <c r="I261" i="1"/>
  <c r="I229" i="1"/>
  <c r="I228" i="1"/>
  <c r="I227" i="1"/>
  <c r="I187" i="1"/>
  <c r="I180" i="1"/>
  <c r="I173" i="1"/>
  <c r="I172" i="1"/>
  <c r="I171" i="1"/>
  <c r="I170" i="1"/>
  <c r="I169" i="1"/>
  <c r="I168" i="1"/>
  <c r="I167" i="1"/>
  <c r="I209" i="1" s="1"/>
  <c r="I159" i="1"/>
  <c r="I152" i="1"/>
  <c r="I145" i="1"/>
  <c r="I138" i="1"/>
  <c r="I136" i="1"/>
  <c r="I135" i="1"/>
  <c r="I134" i="1"/>
  <c r="I133" i="1"/>
  <c r="I132" i="1"/>
  <c r="I131" i="1"/>
  <c r="I130" i="1" s="1"/>
  <c r="I123" i="1"/>
  <c r="I116" i="1"/>
  <c r="I109" i="1"/>
  <c r="I102" i="1"/>
  <c r="J90" i="1"/>
  <c r="J76" i="1" s="1"/>
  <c r="I87" i="1"/>
  <c r="I80" i="1"/>
  <c r="I79" i="1"/>
  <c r="I100" i="1" s="1"/>
  <c r="I78" i="1"/>
  <c r="I99" i="1" s="1"/>
  <c r="I258" i="1" s="1"/>
  <c r="I77" i="1"/>
  <c r="I98" i="1" s="1"/>
  <c r="I257" i="1" s="1"/>
  <c r="H77" i="1"/>
  <c r="I76" i="1"/>
  <c r="I75" i="1"/>
  <c r="I74" i="1"/>
  <c r="I66" i="1"/>
  <c r="I52" i="1"/>
  <c r="I45" i="1"/>
  <c r="I38" i="1"/>
  <c r="I31" i="1"/>
  <c r="I24" i="1"/>
  <c r="I10" i="1"/>
  <c r="I274" i="1" l="1"/>
  <c r="I242" i="1"/>
  <c r="I212" i="1"/>
  <c r="I219" i="1" s="1"/>
  <c r="I95" i="1"/>
  <c r="I216" i="1" s="1"/>
  <c r="I213" i="1"/>
  <c r="I220" i="1" s="1"/>
  <c r="I96" i="1"/>
  <c r="I255" i="1" s="1"/>
  <c r="I244" i="1"/>
  <c r="I214" i="1"/>
  <c r="I221" i="1" s="1"/>
  <c r="I240" i="1"/>
  <c r="I210" i="1"/>
  <c r="I241" i="1"/>
  <c r="I211" i="1"/>
  <c r="J97" i="1"/>
  <c r="I97" i="1"/>
  <c r="I256" i="1" s="1"/>
  <c r="I259" i="1"/>
  <c r="I239" i="1"/>
  <c r="I238" i="1" s="1"/>
  <c r="I243" i="1"/>
  <c r="I223" i="1"/>
  <c r="I260" i="1"/>
  <c r="I267" i="1"/>
  <c r="I166" i="1"/>
  <c r="I73" i="1"/>
  <c r="J179" i="1"/>
  <c r="J266" i="1" s="1"/>
  <c r="J176" i="1"/>
  <c r="I218" i="1" l="1"/>
  <c r="I248" i="1" s="1"/>
  <c r="I217" i="1"/>
  <c r="I232" i="1" s="1"/>
  <c r="I94" i="1"/>
  <c r="I250" i="1"/>
  <c r="I235" i="1"/>
  <c r="I246" i="1"/>
  <c r="I231" i="1"/>
  <c r="I254" i="1"/>
  <c r="I253" i="1" s="1"/>
  <c r="I251" i="1"/>
  <c r="I236" i="1"/>
  <c r="I249" i="1"/>
  <c r="I234" i="1"/>
  <c r="I208" i="1"/>
  <c r="F76" i="1"/>
  <c r="F97" i="1" s="1"/>
  <c r="G97" i="1"/>
  <c r="H76" i="1"/>
  <c r="H97" i="1" s="1"/>
  <c r="I233" i="1" l="1"/>
  <c r="I230" i="1" s="1"/>
  <c r="I247" i="1"/>
  <c r="I215" i="1"/>
  <c r="I245" i="1"/>
  <c r="E27" i="1"/>
  <c r="F176" i="1" l="1"/>
  <c r="F263" i="1" s="1"/>
  <c r="G167" i="1" l="1"/>
  <c r="G209" i="1" s="1"/>
  <c r="G168" i="1"/>
  <c r="G210" i="1" s="1"/>
  <c r="H168" i="1"/>
  <c r="H210" i="1" s="1"/>
  <c r="J168" i="1"/>
  <c r="J210" i="1" s="1"/>
  <c r="G169" i="1"/>
  <c r="G211" i="1" s="1"/>
  <c r="H169" i="1"/>
  <c r="H211" i="1" s="1"/>
  <c r="J169" i="1"/>
  <c r="J211" i="1" s="1"/>
  <c r="G170" i="1"/>
  <c r="G212" i="1" s="1"/>
  <c r="H170" i="1"/>
  <c r="H212" i="1" s="1"/>
  <c r="J170" i="1"/>
  <c r="J212" i="1" s="1"/>
  <c r="G171" i="1"/>
  <c r="G213" i="1" s="1"/>
  <c r="H171" i="1"/>
  <c r="H213" i="1" s="1"/>
  <c r="J171" i="1"/>
  <c r="J213" i="1" s="1"/>
  <c r="G172" i="1"/>
  <c r="G214" i="1" s="1"/>
  <c r="H172" i="1"/>
  <c r="H214" i="1" s="1"/>
  <c r="J172" i="1"/>
  <c r="J165" i="1" l="1"/>
  <c r="J214" i="1" s="1"/>
  <c r="H75" i="1"/>
  <c r="H96" i="1" s="1"/>
  <c r="J75" i="1"/>
  <c r="J96" i="1" s="1"/>
  <c r="H280" i="1"/>
  <c r="H279" i="1"/>
  <c r="H278" i="1"/>
  <c r="H277" i="1"/>
  <c r="H276" i="1"/>
  <c r="H275" i="1"/>
  <c r="H273" i="1"/>
  <c r="H272" i="1"/>
  <c r="H271" i="1"/>
  <c r="H270" i="1"/>
  <c r="H269" i="1"/>
  <c r="H268" i="1"/>
  <c r="H265" i="1"/>
  <c r="H264" i="1"/>
  <c r="H263" i="1"/>
  <c r="H262" i="1"/>
  <c r="H261" i="1"/>
  <c r="H229" i="1"/>
  <c r="H228" i="1"/>
  <c r="H227" i="1"/>
  <c r="H152" i="1"/>
  <c r="H145" i="1"/>
  <c r="H187" i="1"/>
  <c r="H180" i="1"/>
  <c r="H173" i="1"/>
  <c r="H244" i="1"/>
  <c r="H243" i="1"/>
  <c r="H242" i="1"/>
  <c r="H241" i="1"/>
  <c r="H240" i="1"/>
  <c r="H167" i="1"/>
  <c r="H209" i="1" s="1"/>
  <c r="H159" i="1"/>
  <c r="H138" i="1"/>
  <c r="H136" i="1"/>
  <c r="H135" i="1"/>
  <c r="H134" i="1"/>
  <c r="H133" i="1"/>
  <c r="H256" i="1" s="1"/>
  <c r="H132" i="1"/>
  <c r="H131" i="1"/>
  <c r="H123" i="1"/>
  <c r="H116" i="1"/>
  <c r="H109" i="1"/>
  <c r="H102" i="1"/>
  <c r="H87" i="1"/>
  <c r="H80" i="1"/>
  <c r="H79" i="1"/>
  <c r="H78" i="1"/>
  <c r="H99" i="1" s="1"/>
  <c r="H258" i="1" s="1"/>
  <c r="H98" i="1"/>
  <c r="H74" i="1"/>
  <c r="H72" i="1"/>
  <c r="H52" i="1"/>
  <c r="H45" i="1"/>
  <c r="H31" i="1"/>
  <c r="H24" i="1"/>
  <c r="H10" i="1"/>
  <c r="H66" i="1" l="1"/>
  <c r="H100" i="1"/>
  <c r="H259" i="1" s="1"/>
  <c r="H95" i="1"/>
  <c r="H254" i="1" s="1"/>
  <c r="H267" i="1"/>
  <c r="H274" i="1"/>
  <c r="H239" i="1"/>
  <c r="H223" i="1"/>
  <c r="H130" i="1"/>
  <c r="H38" i="1"/>
  <c r="H73" i="1"/>
  <c r="H260" i="1"/>
  <c r="H238" i="1"/>
  <c r="H217" i="1"/>
  <c r="H255" i="1"/>
  <c r="H219" i="1"/>
  <c r="H257" i="1"/>
  <c r="H166" i="1"/>
  <c r="H218" i="1"/>
  <c r="H220" i="1"/>
  <c r="F275" i="1"/>
  <c r="G275" i="1"/>
  <c r="J275" i="1"/>
  <c r="F276" i="1"/>
  <c r="F274" i="1" s="1"/>
  <c r="G276" i="1"/>
  <c r="J276" i="1"/>
  <c r="F277" i="1"/>
  <c r="G277" i="1"/>
  <c r="J277" i="1"/>
  <c r="F278" i="1"/>
  <c r="G278" i="1"/>
  <c r="J278" i="1"/>
  <c r="F279" i="1"/>
  <c r="G279" i="1"/>
  <c r="J279" i="1"/>
  <c r="F280" i="1"/>
  <c r="G280" i="1"/>
  <c r="J280" i="1"/>
  <c r="H216" i="1" l="1"/>
  <c r="E276" i="1"/>
  <c r="H221" i="1"/>
  <c r="E279" i="1"/>
  <c r="H94" i="1"/>
  <c r="E278" i="1"/>
  <c r="J274" i="1"/>
  <c r="H253" i="1"/>
  <c r="H248" i="1"/>
  <c r="H233" i="1"/>
  <c r="H250" i="1"/>
  <c r="H235" i="1"/>
  <c r="H246" i="1"/>
  <c r="H231" i="1"/>
  <c r="H249" i="1"/>
  <c r="H234" i="1"/>
  <c r="H247" i="1"/>
  <c r="H232" i="1"/>
  <c r="H208" i="1"/>
  <c r="E280" i="1"/>
  <c r="E277" i="1"/>
  <c r="G274" i="1"/>
  <c r="E274" i="1" s="1"/>
  <c r="E275" i="1"/>
  <c r="H251" i="1" l="1"/>
  <c r="H236" i="1"/>
  <c r="H230" i="1" s="1"/>
  <c r="H215" i="1"/>
  <c r="H245" i="1"/>
  <c r="F268" i="1"/>
  <c r="G268" i="1"/>
  <c r="J268" i="1"/>
  <c r="F269" i="1"/>
  <c r="G269" i="1"/>
  <c r="J269" i="1"/>
  <c r="F270" i="1"/>
  <c r="G270" i="1"/>
  <c r="J270" i="1"/>
  <c r="F271" i="1"/>
  <c r="G271" i="1"/>
  <c r="J271" i="1"/>
  <c r="F272" i="1"/>
  <c r="G272" i="1"/>
  <c r="J272" i="1"/>
  <c r="F273" i="1"/>
  <c r="G273" i="1"/>
  <c r="J273" i="1"/>
  <c r="F267" i="1" l="1"/>
  <c r="E271" i="1"/>
  <c r="E272" i="1"/>
  <c r="E273" i="1"/>
  <c r="J267" i="1"/>
  <c r="E269" i="1"/>
  <c r="E270" i="1"/>
  <c r="G267" i="1"/>
  <c r="E268" i="1"/>
  <c r="E158" i="1"/>
  <c r="E157" i="1"/>
  <c r="E156" i="1"/>
  <c r="E155" i="1"/>
  <c r="E154" i="1"/>
  <c r="E153" i="1"/>
  <c r="E151" i="1"/>
  <c r="E150" i="1"/>
  <c r="E149" i="1"/>
  <c r="E148" i="1"/>
  <c r="E147" i="1"/>
  <c r="E146" i="1"/>
  <c r="J152" i="1"/>
  <c r="G152" i="1"/>
  <c r="F152" i="1"/>
  <c r="E152" i="1" s="1"/>
  <c r="J145" i="1"/>
  <c r="G145" i="1"/>
  <c r="F145" i="1"/>
  <c r="G187" i="1"/>
  <c r="F187" i="1"/>
  <c r="F167" i="1"/>
  <c r="F209" i="1" s="1"/>
  <c r="J167" i="1"/>
  <c r="J209" i="1" s="1"/>
  <c r="F168" i="1"/>
  <c r="F210" i="1" s="1"/>
  <c r="F169" i="1"/>
  <c r="F211" i="1" s="1"/>
  <c r="F170" i="1"/>
  <c r="F212" i="1" s="1"/>
  <c r="F171" i="1"/>
  <c r="F213" i="1" s="1"/>
  <c r="F172" i="1"/>
  <c r="F214" i="1" s="1"/>
  <c r="J180" i="1"/>
  <c r="G180" i="1"/>
  <c r="F180" i="1"/>
  <c r="E186" i="1"/>
  <c r="E185" i="1"/>
  <c r="E184" i="1"/>
  <c r="E183" i="1"/>
  <c r="E182" i="1"/>
  <c r="E181" i="1"/>
  <c r="J138" i="1"/>
  <c r="G138" i="1"/>
  <c r="F138" i="1"/>
  <c r="E138" i="1" s="1"/>
  <c r="E144" i="1"/>
  <c r="E143" i="1"/>
  <c r="E142" i="1"/>
  <c r="E141" i="1"/>
  <c r="E140" i="1"/>
  <c r="E139" i="1"/>
  <c r="F131" i="1"/>
  <c r="G131" i="1"/>
  <c r="J131" i="1"/>
  <c r="F132" i="1"/>
  <c r="G132" i="1"/>
  <c r="J132" i="1"/>
  <c r="F133" i="1"/>
  <c r="G133" i="1"/>
  <c r="F134" i="1"/>
  <c r="G134" i="1"/>
  <c r="J134" i="1"/>
  <c r="F135" i="1"/>
  <c r="G135" i="1"/>
  <c r="J135" i="1"/>
  <c r="F136" i="1"/>
  <c r="G136" i="1"/>
  <c r="G123" i="1"/>
  <c r="F123" i="1"/>
  <c r="G116" i="1"/>
  <c r="F116" i="1"/>
  <c r="G109" i="1"/>
  <c r="F109" i="1"/>
  <c r="J102" i="1"/>
  <c r="G102" i="1"/>
  <c r="F102" i="1"/>
  <c r="E128" i="1"/>
  <c r="E127" i="1"/>
  <c r="E125" i="1"/>
  <c r="E124" i="1"/>
  <c r="E122" i="1"/>
  <c r="E121" i="1"/>
  <c r="E120" i="1"/>
  <c r="E118" i="1"/>
  <c r="E117" i="1"/>
  <c r="E115" i="1"/>
  <c r="E114" i="1"/>
  <c r="E113" i="1"/>
  <c r="E111" i="1"/>
  <c r="E110" i="1"/>
  <c r="E108" i="1"/>
  <c r="E107" i="1"/>
  <c r="E106" i="1"/>
  <c r="E105" i="1"/>
  <c r="E104" i="1"/>
  <c r="E103" i="1"/>
  <c r="F74" i="1"/>
  <c r="G74" i="1"/>
  <c r="J74" i="1"/>
  <c r="F75" i="1"/>
  <c r="F96" i="1" s="1"/>
  <c r="G75" i="1"/>
  <c r="F77" i="1"/>
  <c r="G77" i="1"/>
  <c r="G98" i="1" s="1"/>
  <c r="G257" i="1" s="1"/>
  <c r="J77" i="1"/>
  <c r="J98" i="1" s="1"/>
  <c r="F78" i="1"/>
  <c r="F99" i="1" s="1"/>
  <c r="F258" i="1" s="1"/>
  <c r="G78" i="1"/>
  <c r="G99" i="1" s="1"/>
  <c r="G258" i="1" s="1"/>
  <c r="J78" i="1"/>
  <c r="J99" i="1" s="1"/>
  <c r="J258" i="1" s="1"/>
  <c r="F79" i="1"/>
  <c r="G79" i="1"/>
  <c r="J79" i="1"/>
  <c r="J87" i="1"/>
  <c r="G87" i="1"/>
  <c r="F87" i="1"/>
  <c r="G80" i="1"/>
  <c r="F80" i="1"/>
  <c r="J52" i="1"/>
  <c r="G52" i="1"/>
  <c r="F52" i="1"/>
  <c r="J45" i="1"/>
  <c r="G45" i="1"/>
  <c r="F45" i="1"/>
  <c r="G31" i="1"/>
  <c r="F31" i="1"/>
  <c r="G24" i="1"/>
  <c r="F24" i="1"/>
  <c r="E93" i="1"/>
  <c r="E92" i="1"/>
  <c r="E91" i="1"/>
  <c r="E90" i="1"/>
  <c r="E89" i="1"/>
  <c r="E88" i="1"/>
  <c r="E86" i="1"/>
  <c r="E85" i="1"/>
  <c r="E84" i="1"/>
  <c r="E82" i="1"/>
  <c r="E81" i="1"/>
  <c r="E71" i="1"/>
  <c r="E70" i="1"/>
  <c r="E68" i="1"/>
  <c r="E67" i="1"/>
  <c r="E58" i="1"/>
  <c r="E57" i="1"/>
  <c r="E56" i="1"/>
  <c r="E55" i="1"/>
  <c r="E54" i="1"/>
  <c r="E53" i="1"/>
  <c r="E51" i="1"/>
  <c r="E50" i="1"/>
  <c r="E49" i="1"/>
  <c r="E48" i="1"/>
  <c r="E47" i="1"/>
  <c r="E46" i="1"/>
  <c r="E43" i="1"/>
  <c r="E42" i="1"/>
  <c r="E39" i="1"/>
  <c r="E36" i="1"/>
  <c r="E35" i="1"/>
  <c r="E33" i="1"/>
  <c r="E32" i="1"/>
  <c r="E30" i="1"/>
  <c r="E29" i="1"/>
  <c r="E28" i="1"/>
  <c r="E26" i="1"/>
  <c r="E25" i="1"/>
  <c r="E12" i="1"/>
  <c r="E11" i="1"/>
  <c r="E13" i="1"/>
  <c r="E14" i="1"/>
  <c r="E15" i="1"/>
  <c r="E16" i="1"/>
  <c r="F10" i="1"/>
  <c r="G10" i="1"/>
  <c r="J10" i="1"/>
  <c r="E102" i="1" l="1"/>
  <c r="E180" i="1"/>
  <c r="G96" i="1"/>
  <c r="G255" i="1" s="1"/>
  <c r="F95" i="1"/>
  <c r="F254" i="1" s="1"/>
  <c r="E74" i="1"/>
  <c r="J95" i="1"/>
  <c r="J254" i="1" s="1"/>
  <c r="J257" i="1"/>
  <c r="G95" i="1"/>
  <c r="G254" i="1" s="1"/>
  <c r="E267" i="1"/>
  <c r="E52" i="1"/>
  <c r="F256" i="1"/>
  <c r="G256" i="1"/>
  <c r="E145" i="1"/>
  <c r="E10" i="1"/>
  <c r="E45" i="1"/>
  <c r="E87" i="1"/>
  <c r="F130" i="1"/>
  <c r="E78" i="1"/>
  <c r="G73" i="1"/>
  <c r="F73" i="1"/>
  <c r="E79" i="1"/>
  <c r="E77" i="1"/>
  <c r="F255" i="1"/>
  <c r="F98" i="1"/>
  <c r="F257" i="1" s="1"/>
  <c r="E75" i="1"/>
  <c r="J24" i="1"/>
  <c r="E24" i="1" s="1"/>
  <c r="G130" i="1"/>
  <c r="J159" i="1"/>
  <c r="G159" i="1"/>
  <c r="F159" i="1"/>
  <c r="J166" i="1"/>
  <c r="G166" i="1"/>
  <c r="F166" i="1"/>
  <c r="E174" i="1"/>
  <c r="E175" i="1"/>
  <c r="E176" i="1"/>
  <c r="E177" i="1"/>
  <c r="E178" i="1"/>
  <c r="E179" i="1"/>
  <c r="F173" i="1"/>
  <c r="G173" i="1"/>
  <c r="J173" i="1"/>
  <c r="E188" i="1"/>
  <c r="E191" i="1"/>
  <c r="E192" i="1"/>
  <c r="E173" i="1" l="1"/>
  <c r="E159" i="1"/>
  <c r="E166" i="1"/>
  <c r="F72" i="1" l="1"/>
  <c r="F100" i="1" s="1"/>
  <c r="F221" i="1" s="1"/>
  <c r="G72" i="1"/>
  <c r="J72" i="1"/>
  <c r="J100" i="1" s="1"/>
  <c r="G66" i="1" l="1"/>
  <c r="G100" i="1"/>
  <c r="G259" i="1" s="1"/>
  <c r="E72" i="1"/>
  <c r="F66" i="1"/>
  <c r="J80" i="1"/>
  <c r="E80" i="1" s="1"/>
  <c r="E83" i="1"/>
  <c r="J66" i="1"/>
  <c r="E69" i="1"/>
  <c r="F241" i="1"/>
  <c r="G241" i="1"/>
  <c r="J224" i="1"/>
  <c r="E224" i="1" s="1"/>
  <c r="J225" i="1"/>
  <c r="E225" i="1" s="1"/>
  <c r="J226" i="1"/>
  <c r="E226" i="1" s="1"/>
  <c r="F227" i="1"/>
  <c r="G227" i="1"/>
  <c r="J227" i="1"/>
  <c r="F228" i="1"/>
  <c r="G228" i="1"/>
  <c r="J228" i="1"/>
  <c r="F229" i="1"/>
  <c r="F236" i="1" s="1"/>
  <c r="G229" i="1"/>
  <c r="J229" i="1"/>
  <c r="E66" i="1" l="1"/>
  <c r="E76" i="1"/>
  <c r="J73" i="1"/>
  <c r="E73" i="1" s="1"/>
  <c r="E99" i="1"/>
  <c r="E98" i="1"/>
  <c r="E95" i="1"/>
  <c r="E131" i="1"/>
  <c r="E135" i="1"/>
  <c r="E134" i="1"/>
  <c r="F261" i="1" l="1"/>
  <c r="G261" i="1"/>
  <c r="J261" i="1"/>
  <c r="F262" i="1"/>
  <c r="G262" i="1"/>
  <c r="J262" i="1"/>
  <c r="G263" i="1"/>
  <c r="J263" i="1"/>
  <c r="F264" i="1"/>
  <c r="G264" i="1"/>
  <c r="J264" i="1"/>
  <c r="F265" i="1"/>
  <c r="G265" i="1"/>
  <c r="J265" i="1"/>
  <c r="F260" i="1" l="1"/>
  <c r="G260" i="1"/>
  <c r="J260" i="1"/>
  <c r="E261" i="1"/>
  <c r="E264" i="1"/>
  <c r="E265" i="1"/>
  <c r="E227" i="1"/>
  <c r="E228" i="1"/>
  <c r="E229" i="1"/>
  <c r="J223" i="1"/>
  <c r="E167" i="1" l="1"/>
  <c r="E171" i="1"/>
  <c r="E170" i="1"/>
  <c r="G244" i="1"/>
  <c r="J243" i="1"/>
  <c r="F243" i="1"/>
  <c r="G242" i="1"/>
  <c r="J241" i="1"/>
  <c r="G240" i="1"/>
  <c r="J239" i="1"/>
  <c r="F239" i="1"/>
  <c r="J244" i="1"/>
  <c r="F244" i="1"/>
  <c r="G243" i="1"/>
  <c r="J242" i="1"/>
  <c r="F242" i="1"/>
  <c r="J240" i="1"/>
  <c r="F240" i="1"/>
  <c r="G239" i="1"/>
  <c r="G208" i="1"/>
  <c r="F223" i="1"/>
  <c r="G223" i="1"/>
  <c r="F208" i="1" l="1"/>
  <c r="E223" i="1"/>
  <c r="F38" i="1" l="1"/>
  <c r="G38" i="1"/>
  <c r="E44" i="1"/>
  <c r="F259" i="1" l="1"/>
  <c r="E41" i="1"/>
  <c r="E129" i="1" l="1"/>
  <c r="J136" i="1"/>
  <c r="J259" i="1" s="1"/>
  <c r="J123" i="1"/>
  <c r="E123" i="1" s="1"/>
  <c r="E126" i="1"/>
  <c r="J133" i="1" l="1"/>
  <c r="J130" i="1" s="1"/>
  <c r="J109" i="1"/>
  <c r="E109" i="1" s="1"/>
  <c r="E112" i="1"/>
  <c r="E34" i="1"/>
  <c r="J31" i="1"/>
  <c r="E31" i="1" s="1"/>
  <c r="E190" i="1"/>
  <c r="J116" i="1"/>
  <c r="E116" i="1" s="1"/>
  <c r="E119" i="1"/>
  <c r="E37" i="1"/>
  <c r="E193" i="1"/>
  <c r="G238" i="1"/>
  <c r="J238" i="1"/>
  <c r="F238" i="1"/>
  <c r="J256" i="1" l="1"/>
  <c r="E256" i="1" s="1"/>
  <c r="F94" i="1"/>
  <c r="F216" i="1"/>
  <c r="F218" i="1"/>
  <c r="F220" i="1"/>
  <c r="F219" i="1"/>
  <c r="F217" i="1"/>
  <c r="F253" i="1" l="1"/>
  <c r="F247" i="1"/>
  <c r="F232" i="1"/>
  <c r="F249" i="1"/>
  <c r="F234" i="1"/>
  <c r="F250" i="1"/>
  <c r="F235" i="1"/>
  <c r="F251" i="1"/>
  <c r="F248" i="1"/>
  <c r="F233" i="1"/>
  <c r="F246" i="1"/>
  <c r="F231" i="1"/>
  <c r="F215" i="1" l="1"/>
  <c r="F245" i="1"/>
  <c r="F230" i="1"/>
  <c r="E172" i="1" l="1"/>
  <c r="E266" i="1" l="1"/>
  <c r="E263" i="1" l="1"/>
  <c r="E169" i="1" l="1"/>
  <c r="E241" i="1"/>
  <c r="E168" i="1" l="1"/>
  <c r="E260" i="1"/>
  <c r="E262" i="1"/>
  <c r="E240" i="1" l="1"/>
  <c r="E136" i="1" l="1"/>
  <c r="E133" i="1" l="1"/>
  <c r="E132" i="1"/>
  <c r="E130" i="1"/>
  <c r="J255" i="1" l="1"/>
  <c r="J38" i="1"/>
  <c r="E38" i="1" s="1"/>
  <c r="E40" i="1"/>
  <c r="J187" i="1"/>
  <c r="E187" i="1" s="1"/>
  <c r="J208" i="1"/>
  <c r="E208" i="1" s="1"/>
  <c r="E189" i="1"/>
  <c r="E97" i="1"/>
  <c r="E96" i="1" l="1"/>
  <c r="E258" i="1" l="1"/>
  <c r="J218" i="1"/>
  <c r="G216" i="1"/>
  <c r="E255" i="1"/>
  <c r="E257" i="1"/>
  <c r="G218" i="1"/>
  <c r="J216" i="1"/>
  <c r="E254" i="1"/>
  <c r="J220" i="1"/>
  <c r="G219" i="1"/>
  <c r="J217" i="1"/>
  <c r="G220" i="1"/>
  <c r="J219" i="1"/>
  <c r="G217" i="1"/>
  <c r="G247" i="1" l="1"/>
  <c r="G232" i="1"/>
  <c r="J249" i="1"/>
  <c r="J234" i="1"/>
  <c r="G249" i="1"/>
  <c r="G234" i="1"/>
  <c r="G246" i="1"/>
  <c r="G231" i="1"/>
  <c r="J248" i="1"/>
  <c r="J233" i="1"/>
  <c r="G250" i="1"/>
  <c r="G235" i="1"/>
  <c r="J247" i="1"/>
  <c r="J232" i="1"/>
  <c r="J250" i="1"/>
  <c r="J235" i="1"/>
  <c r="J246" i="1"/>
  <c r="J231" i="1"/>
  <c r="G248" i="1"/>
  <c r="G233" i="1"/>
  <c r="E220" i="1"/>
  <c r="E250" i="1" l="1"/>
  <c r="G94" i="1" l="1"/>
  <c r="J94" i="1"/>
  <c r="E94" i="1" l="1"/>
  <c r="J253" i="1"/>
  <c r="G253" i="1"/>
  <c r="E100" i="1" l="1"/>
  <c r="G221" i="1"/>
  <c r="J221" i="1"/>
  <c r="E253" i="1" l="1"/>
  <c r="J215" i="1"/>
  <c r="J251" i="1"/>
  <c r="J245" i="1" s="1"/>
  <c r="J236" i="1"/>
  <c r="J230" i="1" s="1"/>
  <c r="G251" i="1"/>
  <c r="G245" i="1" s="1"/>
  <c r="G236" i="1"/>
  <c r="G230" i="1" s="1"/>
  <c r="G215" i="1"/>
  <c r="E215" i="1" l="1"/>
  <c r="E259" i="1"/>
  <c r="E164" i="1" l="1"/>
  <c r="E162" i="1" l="1"/>
  <c r="E163" i="1"/>
  <c r="E161" i="1"/>
  <c r="E165" i="1"/>
  <c r="E160" i="1" l="1"/>
  <c r="E239" i="1" l="1"/>
  <c r="E244" i="1"/>
  <c r="E242" i="1"/>
  <c r="E243" i="1"/>
  <c r="E238" i="1"/>
  <c r="E235" i="1" l="1"/>
  <c r="E212" i="1"/>
  <c r="E209" i="1"/>
  <c r="E213" i="1"/>
  <c r="E214" i="1"/>
  <c r="E211" i="1"/>
  <c r="E210" i="1"/>
  <c r="E219" i="1"/>
  <c r="E233" i="1"/>
  <c r="E251" i="1"/>
  <c r="E217" i="1"/>
  <c r="E236" i="1" l="1"/>
  <c r="E216" i="1"/>
  <c r="E221" i="1"/>
  <c r="E247" i="1"/>
  <c r="E218" i="1"/>
  <c r="E232" i="1"/>
  <c r="E249" i="1"/>
  <c r="E234" i="1"/>
  <c r="E248" i="1" l="1"/>
  <c r="E231" i="1"/>
  <c r="E230" i="1"/>
  <c r="E246" i="1"/>
  <c r="E245" i="1"/>
</calcChain>
</file>

<file path=xl/sharedStrings.xml><?xml version="1.0" encoding="utf-8"?>
<sst xmlns="http://schemas.openxmlformats.org/spreadsheetml/2006/main" count="370" uniqueCount="95">
  <si>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</si>
  <si>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</si>
  <si>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</si>
  <si>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</si>
  <si>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</si>
  <si>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</si>
  <si>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</si>
  <si>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</si>
  <si>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</si>
  <si>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
</t>
  </si>
  <si>
    <t>Подпрограмма II "Молодежь Нефтеюганского района"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</si>
  <si>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</si>
  <si>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</si>
  <si>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</si>
  <si>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</si>
  <si>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</si>
  <si>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</si>
  <si>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иные  источники</t>
  </si>
  <si>
    <t>средства поселений</t>
  </si>
  <si>
    <t>иные источники *</t>
  </si>
  <si>
    <t>2023 год</t>
  </si>
  <si>
    <t>2024 год</t>
  </si>
  <si>
    <t>Подпрограмма I «Дошкольное, общее и дополнительное образование детей»</t>
  </si>
  <si>
    <t>1.1.</t>
  </si>
  <si>
    <t>1.4.</t>
  </si>
  <si>
    <t>1.5.</t>
  </si>
  <si>
    <t>1.2.</t>
  </si>
  <si>
    <t>2.1.</t>
  </si>
  <si>
    <t>2.2.</t>
  </si>
  <si>
    <t>3.1.</t>
  </si>
  <si>
    <t>3.2.</t>
  </si>
  <si>
    <t>3.3.</t>
  </si>
  <si>
    <t>1.3.</t>
  </si>
  <si>
    <t>Подпрограмма III «Ресурсное обеспечение в сфере образования и молодежной политики»</t>
  </si>
  <si>
    <t>в том числе</t>
  </si>
  <si>
    <t>2.3.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</si>
  <si>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</si>
  <si>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</si>
  <si>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</si>
  <si>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</si>
  <si>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3.4.</t>
  </si>
  <si>
    <t>3.5.</t>
  </si>
  <si>
    <t>3.6.</t>
  </si>
  <si>
    <t>Проектная часть</t>
  </si>
  <si>
    <t>Процессная часть</t>
  </si>
  <si>
    <t xml:space="preserve">Департамент имущественных отношений Нефтеюганского района 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</si>
  <si>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</si>
  <si>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</si>
  <si>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 xml:space="preserve">Соисполнитель 3 (Департамент культуры и спорта Нефтеюганского района)
                          </t>
  </si>
  <si>
    <t xml:space="preserve">Соисполнитель 2 (Департамент имущественных отношений Нефтеюганского района)
                          </t>
  </si>
  <si>
    <t>2025 год</t>
  </si>
  <si>
    <t>1.6.</t>
  </si>
  <si>
    <t>2.4.</t>
  </si>
  <si>
    <t>3.7.</t>
  </si>
  <si>
    <t>3.8.</t>
  </si>
  <si>
    <t xml:space="preserve"> П1+П2, С1</t>
  </si>
  <si>
    <t>К</t>
  </si>
  <si>
    <t xml:space="preserve">Региональный проект "Цифровая образовательная среда" (показатель № 5 таблицы 1)    </t>
  </si>
  <si>
    <t xml:space="preserve">Основное мероприятие "Развитие системы оценки качества образования"  </t>
  </si>
  <si>
    <t xml:space="preserve">Региональный проект "Содействие занятости" (показатель № 2 таблицы 1)    </t>
  </si>
  <si>
    <t xml:space="preserve">Основное мероприятие "Обеспечение комплексной безопасности и комфортных условий образовательного процесса" (показатель № 4 таблицы 1)    </t>
  </si>
  <si>
    <t xml:space="preserve">Основное мероприятие "Создание в образовательных организациях условий для получения детьми-инвалидами качественного образования"  (показатель № 4 таблицы 1)    </t>
  </si>
  <si>
    <t>Основное мероприятие "Капитальный ремонт и оснащение немонтируемыми средствами обучения и воспитания объектов общеобразовательных организаций"  (показатель № 4 таблицы 1)</t>
  </si>
  <si>
    <t xml:space="preserve">Региональный проект "Успех каждого ребенка" (показатель № 3 таблицы 1)    </t>
  </si>
  <si>
    <t xml:space="preserve">Департамент строительства и жилищно-коммунального комплекса </t>
  </si>
  <si>
    <t>Департамент строительства и жилищно-коммунального комплекса</t>
  </si>
  <si>
    <t>2026 год</t>
  </si>
  <si>
    <t>2027-2030 год</t>
  </si>
  <si>
    <t>Департамент культуры и спорта Нефтеюганского района</t>
  </si>
  <si>
    <t>Департамент строительства и жилищно-коммунального комплекса, Департамент имущественных отношений Нефтеюганского района, в том числе:</t>
  </si>
  <si>
    <t>Департамент имущественных отношений Нефтеюганского района</t>
  </si>
  <si>
    <t>Соисполнитель 1 (Департамент строительства и жилищно-коммунального комплекса Нефтеюганского района)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</si>
  <si>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</si>
  <si>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</si>
  <si>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1.5.1.</t>
  </si>
  <si>
    <t>1.5.2.</t>
  </si>
  <si>
    <t>1.5.3.</t>
  </si>
  <si>
    <t>1.7.</t>
  </si>
  <si>
    <t>Департамент образования Нефтеюганского района</t>
  </si>
  <si>
    <t>Департамент образования  Нефтеюганского района</t>
  </si>
  <si>
    <t>Департамент образованияНефтеюганского района, Департамент культуры и спорта Нефтеюганского района, в том числе:</t>
  </si>
  <si>
    <t xml:space="preserve"> Департамент образования  Нефтеюганского района</t>
  </si>
  <si>
    <t xml:space="preserve">Департамент образования Нефтеюганского района </t>
  </si>
  <si>
    <t>Ответственный исполнитель  (Департамент образования Нефтеюганского района)</t>
  </si>
  <si>
    <t>Основное мероприятие "Создание условий для реализации национальной системы профессионального роста
педагогических работников, развитие наставничества, кадрового потенциала отрасли" (показатель № 1 таблицы 1, показатель № 4 таблицы 8)</t>
  </si>
  <si>
    <t xml:space="preserve">Региональный проект "Социальная активность" </t>
  </si>
  <si>
    <t xml:space="preserve"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</t>
  </si>
  <si>
    <t xml:space="preserve">Основное мероприятие "Создание условий для развития 
гражданско-патриотических, военно-патриотических качеств молодежи" 
</t>
  </si>
  <si>
    <t xml:space="preserve">Основное мероприятие "Обеспечение развития молодежной политики и патриотического воспитания граждан на территории Нефтеюганского района" </t>
  </si>
  <si>
    <t xml:space="preserve"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молодежи" (показатель № 3, 6 таблицы 1, показатель № 5, 6 таблицы 8)                                   </t>
  </si>
  <si>
    <t>Основное мероприятие "Обеспечение реализации общедоступного и бесплатного дошкольного, общего и дополнительного образования детей" (показатель № 2, 6, таблицы 1, показатель № 2 таблицы 8)</t>
  </si>
  <si>
    <t>Основное мероприятие  "Организация отдыха и оздоровления детей"  (показатель № 1 таблицы 8)</t>
  </si>
  <si>
    <t xml:space="preserve">Региональный проект "Современная школа" (показатель № 4 таблицы 1, № 3 таблицы 8)  </t>
  </si>
  <si>
    <t>Основное мероприятие "Обеспечение функций управления в сфере образования и молодежной политики. Финансовое обеспечение отдельных государственных полномочий"  (показатель № 2, 3, 4, 5, 6, таблицы 1, № 1 таблицы 8)</t>
  </si>
  <si>
    <t xml:space="preserve"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 (показатель № 2, 3 таблицы 1, № 3 таблицы 8)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</si>
</sst>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0"/>
    <numFmt numFmtId="168" formatCode="0.00000"/>
    <numFmt numFmtId="169" formatCode="_-* #,##0.000000\ _₽_-;\-* #,##0.0000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3" fontId="9" fillId="0" borderId="0" xfId="0" applyNumberFormat="1" applyFont="1" applyFill="1" applyAlignment="1"/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/>
    <xf numFmtId="166" fontId="14" fillId="0" borderId="1" xfId="0" applyNumberFormat="1" applyFont="1" applyFill="1" applyBorder="1" applyAlignment="1">
      <alignment vertical="center" wrapText="1"/>
    </xf>
    <xf numFmtId="166" fontId="13" fillId="0" borderId="1" xfId="0" applyNumberFormat="1" applyFont="1" applyFill="1" applyBorder="1" applyAlignment="1">
      <alignment vertical="center" wrapText="1"/>
    </xf>
    <xf numFmtId="166" fontId="7" fillId="0" borderId="1" xfId="1" applyNumberFormat="1" applyFont="1" applyFill="1" applyBorder="1" applyAlignment="1">
      <alignment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left" vertical="center" wrapText="1"/>
    </xf>
    <xf numFmtId="164" fontId="1" fillId="0" borderId="1" xfId="1" applyFont="1" applyFill="1" applyBorder="1" applyAlignment="1">
      <alignment horizontal="left" vertical="center" wrapText="1"/>
    </xf>
    <xf numFmtId="166" fontId="7" fillId="0" borderId="1" xfId="1" applyNumberFormat="1" applyFont="1" applyFill="1" applyBorder="1" applyAlignment="1">
      <alignment horizontal="right" vertical="center" wrapText="1"/>
    </xf>
    <xf numFmtId="166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6" fontId="15" fillId="0" borderId="1" xfId="0" applyNumberFormat="1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166" fontId="10" fillId="0" borderId="0" xfId="0" applyNumberFormat="1" applyFont="1" applyFill="1"/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8" fontId="10" fillId="0" borderId="0" xfId="0" applyNumberFormat="1" applyFont="1" applyFill="1"/>
    <xf numFmtId="165" fontId="14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167" fontId="8" fillId="0" borderId="0" xfId="0" applyNumberFormat="1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164" fontId="1" fillId="0" borderId="1" xfId="1" applyFont="1" applyFill="1" applyBorder="1" applyAlignment="1">
      <alignment horizontal="center" vertical="top" wrapText="1"/>
    </xf>
    <xf numFmtId="164" fontId="1" fillId="0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64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vertical="center" wrapText="1"/>
    </xf>
    <xf numFmtId="166" fontId="14" fillId="0" borderId="1" xfId="1" applyNumberFormat="1" applyFont="1" applyFill="1" applyBorder="1" applyAlignment="1">
      <alignment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2"/>
  <sheetViews>
    <sheetView tabSelected="1" view="pageBreakPreview" zoomScaleSheetLayoutView="100" workbookViewId="0">
      <pane xSplit="4" ySplit="7" topLeftCell="E68" activePane="bottomRight" state="frozen"/>
      <selection pane="topRight" activeCell="E1" sqref="E1"/>
      <selection pane="bottomLeft" activeCell="A7" sqref="A7"/>
      <selection pane="bottomRight" activeCell="G16" sqref="G16:I21"/>
    </sheetView>
  </sheetViews>
  <sheetFormatPr defaultRowHeight="15.75" x14ac:dyDescent="0.25"/>
  <cols>
    <col min="1" max="1" width="12.42578125" style="38" customWidth="1"/>
    <col min="2" max="2" width="27.28515625" style="39" customWidth="1"/>
    <col min="3" max="3" width="24" style="38" customWidth="1"/>
    <col min="4" max="4" width="27.140625" style="40" customWidth="1"/>
    <col min="5" max="5" width="24.42578125" style="42" bestFit="1" customWidth="1"/>
    <col min="6" max="7" width="22.85546875" style="5" bestFit="1" customWidth="1"/>
    <col min="8" max="8" width="21.42578125" style="5" customWidth="1"/>
    <col min="9" max="9" width="22.140625" style="5" customWidth="1"/>
    <col min="10" max="10" width="24.42578125" style="5" bestFit="1" customWidth="1"/>
    <col min="11" max="11" width="23" style="19" customWidth="1"/>
    <col min="12" max="12" width="19.140625" style="19" customWidth="1"/>
    <col min="13" max="13" width="12.85546875" style="19" customWidth="1"/>
    <col min="14" max="16384" width="9.140625" style="19"/>
  </cols>
  <sheetData>
    <row r="1" spans="1:10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s="20" customFormat="1" x14ac:dyDescent="0.25">
      <c r="A2" s="61" t="s">
        <v>36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s="20" customFormat="1" x14ac:dyDescent="0.25">
      <c r="A3" s="1"/>
      <c r="B3" s="2"/>
      <c r="C3" s="1"/>
      <c r="D3" s="3"/>
      <c r="E3" s="6"/>
      <c r="F3" s="7"/>
      <c r="G3" s="7"/>
      <c r="H3" s="7"/>
      <c r="I3" s="7"/>
      <c r="J3" s="7"/>
    </row>
    <row r="4" spans="1:10" s="21" customFormat="1" ht="15.75" customHeight="1" x14ac:dyDescent="0.25">
      <c r="A4" s="62" t="s">
        <v>37</v>
      </c>
      <c r="B4" s="62" t="s">
        <v>38</v>
      </c>
      <c r="C4" s="62" t="s">
        <v>1</v>
      </c>
      <c r="D4" s="62" t="s">
        <v>2</v>
      </c>
      <c r="E4" s="63" t="s">
        <v>39</v>
      </c>
      <c r="F4" s="63"/>
      <c r="G4" s="63"/>
      <c r="H4" s="63"/>
      <c r="I4" s="63"/>
      <c r="J4" s="63"/>
    </row>
    <row r="5" spans="1:10" s="21" customFormat="1" x14ac:dyDescent="0.25">
      <c r="A5" s="62"/>
      <c r="B5" s="62"/>
      <c r="C5" s="62"/>
      <c r="D5" s="62"/>
      <c r="E5" s="63" t="s">
        <v>34</v>
      </c>
      <c r="F5" s="63"/>
      <c r="G5" s="63"/>
      <c r="H5" s="63"/>
      <c r="I5" s="63"/>
      <c r="J5" s="63"/>
    </row>
    <row r="6" spans="1:10" s="21" customFormat="1" x14ac:dyDescent="0.25">
      <c r="A6" s="62"/>
      <c r="B6" s="62"/>
      <c r="C6" s="62"/>
      <c r="D6" s="62"/>
      <c r="E6" s="63" t="s">
        <v>3</v>
      </c>
      <c r="F6" s="63"/>
      <c r="G6" s="63"/>
      <c r="H6" s="63"/>
      <c r="I6" s="63"/>
      <c r="J6" s="63"/>
    </row>
    <row r="7" spans="1:10" s="21" customFormat="1" ht="68.25" customHeight="1" x14ac:dyDescent="0.25">
      <c r="A7" s="62"/>
      <c r="B7" s="62"/>
      <c r="C7" s="62"/>
      <c r="D7" s="62"/>
      <c r="E7" s="63"/>
      <c r="F7" s="46" t="s">
        <v>20</v>
      </c>
      <c r="G7" s="44" t="s">
        <v>21</v>
      </c>
      <c r="H7" s="44" t="s">
        <v>50</v>
      </c>
      <c r="I7" s="44" t="s">
        <v>66</v>
      </c>
      <c r="J7" s="44" t="s">
        <v>67</v>
      </c>
    </row>
    <row r="8" spans="1:10" s="22" customFormat="1" ht="12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/>
      <c r="J8" s="4">
        <v>9</v>
      </c>
    </row>
    <row r="9" spans="1:10" x14ac:dyDescent="0.25">
      <c r="A9" s="57" t="s">
        <v>22</v>
      </c>
      <c r="B9" s="57"/>
      <c r="C9" s="57"/>
      <c r="D9" s="57"/>
      <c r="E9" s="57"/>
      <c r="F9" s="57"/>
      <c r="G9" s="57"/>
      <c r="H9" s="57"/>
      <c r="I9" s="57"/>
      <c r="J9" s="57"/>
    </row>
    <row r="10" spans="1:10" s="25" customFormat="1" x14ac:dyDescent="0.25">
      <c r="A10" s="51" t="s">
        <v>23</v>
      </c>
      <c r="B10" s="52" t="s">
        <v>57</v>
      </c>
      <c r="C10" s="51" t="s">
        <v>78</v>
      </c>
      <c r="D10" s="23" t="s">
        <v>3</v>
      </c>
      <c r="E10" s="18">
        <f t="shared" ref="E10:E48" si="0">ROUND(SUM(F10:J10),5)</f>
        <v>0</v>
      </c>
      <c r="F10" s="24">
        <f t="shared" ref="F10:J10" si="1">ROUND(SUM(F11:F16),5)</f>
        <v>0</v>
      </c>
      <c r="G10" s="24">
        <f t="shared" si="1"/>
        <v>0</v>
      </c>
      <c r="H10" s="24">
        <f t="shared" ref="H10:I10" si="2">ROUND(SUM(H11:H16),5)</f>
        <v>0</v>
      </c>
      <c r="I10" s="24">
        <f t="shared" si="2"/>
        <v>0</v>
      </c>
      <c r="J10" s="24">
        <f t="shared" si="1"/>
        <v>0</v>
      </c>
    </row>
    <row r="11" spans="1:10" x14ac:dyDescent="0.25">
      <c r="A11" s="51"/>
      <c r="B11" s="52"/>
      <c r="C11" s="51"/>
      <c r="D11" s="26" t="s">
        <v>4</v>
      </c>
      <c r="E11" s="16">
        <f t="shared" si="0"/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  <row r="12" spans="1:10" ht="31.5" x14ac:dyDescent="0.25">
      <c r="A12" s="51"/>
      <c r="B12" s="52"/>
      <c r="C12" s="51"/>
      <c r="D12" s="26" t="s">
        <v>5</v>
      </c>
      <c r="E12" s="16">
        <f t="shared" si="0"/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</row>
    <row r="13" spans="1:10" x14ac:dyDescent="0.25">
      <c r="A13" s="51"/>
      <c r="B13" s="52"/>
      <c r="C13" s="51"/>
      <c r="D13" s="26" t="s">
        <v>6</v>
      </c>
      <c r="E13" s="16">
        <f t="shared" si="0"/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</row>
    <row r="14" spans="1:10" ht="31.5" x14ac:dyDescent="0.25">
      <c r="A14" s="51"/>
      <c r="B14" s="52"/>
      <c r="C14" s="51"/>
      <c r="D14" s="26" t="s">
        <v>8</v>
      </c>
      <c r="E14" s="16">
        <f t="shared" si="0"/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</row>
    <row r="15" spans="1:10" x14ac:dyDescent="0.25">
      <c r="A15" s="51"/>
      <c r="B15" s="52"/>
      <c r="C15" s="51"/>
      <c r="D15" s="26" t="s">
        <v>18</v>
      </c>
      <c r="E15" s="16">
        <f t="shared" si="0"/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</row>
    <row r="16" spans="1:10" x14ac:dyDescent="0.25">
      <c r="A16" s="51"/>
      <c r="B16" s="52"/>
      <c r="C16" s="51"/>
      <c r="D16" s="26" t="s">
        <v>7</v>
      </c>
      <c r="E16" s="16">
        <f t="shared" si="0"/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</row>
    <row r="17" spans="1:10" x14ac:dyDescent="0.25">
      <c r="A17" s="51" t="s">
        <v>26</v>
      </c>
      <c r="B17" s="52" t="s">
        <v>73</v>
      </c>
      <c r="C17" s="51" t="s">
        <v>78</v>
      </c>
      <c r="D17" s="23" t="s">
        <v>3</v>
      </c>
      <c r="E17" s="18">
        <f t="shared" ref="E17:E23" si="3">ROUND(SUM(F17:J17),5)</f>
        <v>11199.195</v>
      </c>
      <c r="F17" s="24">
        <f t="shared" ref="F17:J17" si="4">ROUND(SUM(F18:F23),5)</f>
        <v>2689.7</v>
      </c>
      <c r="G17" s="24">
        <f t="shared" si="4"/>
        <v>2651.9189999999999</v>
      </c>
      <c r="H17" s="24">
        <f t="shared" si="4"/>
        <v>2651.9189999999999</v>
      </c>
      <c r="I17" s="24">
        <f t="shared" si="4"/>
        <v>3205.6570000000002</v>
      </c>
      <c r="J17" s="24">
        <f t="shared" si="4"/>
        <v>0</v>
      </c>
    </row>
    <row r="18" spans="1:10" x14ac:dyDescent="0.25">
      <c r="A18" s="51"/>
      <c r="B18" s="52"/>
      <c r="C18" s="51"/>
      <c r="D18" s="26" t="s">
        <v>4</v>
      </c>
      <c r="E18" s="16">
        <f t="shared" si="3"/>
        <v>4133.6000000000004</v>
      </c>
      <c r="F18" s="11">
        <v>1038.5</v>
      </c>
      <c r="G18" s="11">
        <v>1023.9</v>
      </c>
      <c r="H18" s="11">
        <v>1023.9</v>
      </c>
      <c r="I18" s="11">
        <v>1047.3</v>
      </c>
      <c r="J18" s="11">
        <v>0</v>
      </c>
    </row>
    <row r="19" spans="1:10" ht="31.5" x14ac:dyDescent="0.25">
      <c r="A19" s="51"/>
      <c r="B19" s="52"/>
      <c r="C19" s="51"/>
      <c r="D19" s="26" t="s">
        <v>5</v>
      </c>
      <c r="E19" s="16">
        <f t="shared" si="3"/>
        <v>6953.6</v>
      </c>
      <c r="F19" s="11">
        <v>1624.3</v>
      </c>
      <c r="G19" s="11">
        <v>1601.5</v>
      </c>
      <c r="H19" s="11">
        <v>1601.5</v>
      </c>
      <c r="I19" s="11">
        <v>2126.3000000000002</v>
      </c>
      <c r="J19" s="11">
        <v>0</v>
      </c>
    </row>
    <row r="20" spans="1:10" x14ac:dyDescent="0.25">
      <c r="A20" s="51"/>
      <c r="B20" s="52"/>
      <c r="C20" s="51"/>
      <c r="D20" s="26" t="s">
        <v>6</v>
      </c>
      <c r="E20" s="16">
        <f t="shared" si="3"/>
        <v>111.995</v>
      </c>
      <c r="F20" s="12">
        <v>26.9</v>
      </c>
      <c r="G20" s="12">
        <v>26.518999999999998</v>
      </c>
      <c r="H20" s="12">
        <v>26.518999999999998</v>
      </c>
      <c r="I20" s="12">
        <v>32.057000000000002</v>
      </c>
      <c r="J20" s="12">
        <v>0</v>
      </c>
    </row>
    <row r="21" spans="1:10" ht="31.5" x14ac:dyDescent="0.25">
      <c r="A21" s="51"/>
      <c r="B21" s="52"/>
      <c r="C21" s="51"/>
      <c r="D21" s="26" t="s">
        <v>8</v>
      </c>
      <c r="E21" s="16">
        <f t="shared" si="3"/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</row>
    <row r="22" spans="1:10" x14ac:dyDescent="0.25">
      <c r="A22" s="51"/>
      <c r="B22" s="52"/>
      <c r="C22" s="51"/>
      <c r="D22" s="26" t="s">
        <v>18</v>
      </c>
      <c r="E22" s="16">
        <f t="shared" si="3"/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</row>
    <row r="23" spans="1:10" x14ac:dyDescent="0.25">
      <c r="A23" s="51"/>
      <c r="B23" s="52"/>
      <c r="C23" s="51"/>
      <c r="D23" s="26" t="s">
        <v>7</v>
      </c>
      <c r="E23" s="16">
        <f t="shared" si="3"/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</row>
    <row r="24" spans="1:10" s="25" customFormat="1" x14ac:dyDescent="0.25">
      <c r="A24" s="49" t="s">
        <v>32</v>
      </c>
      <c r="B24" s="50" t="s">
        <v>84</v>
      </c>
      <c r="C24" s="49" t="s">
        <v>78</v>
      </c>
      <c r="D24" s="13" t="s">
        <v>3</v>
      </c>
      <c r="E24" s="18">
        <f t="shared" si="0"/>
        <v>133141.60243999999</v>
      </c>
      <c r="F24" s="24">
        <f t="shared" ref="F24" si="5">ROUND(SUM(F25:F30),5)</f>
        <v>23144.222549999999</v>
      </c>
      <c r="G24" s="24">
        <f t="shared" ref="G24:I24" si="6">ROUND(SUM(G25:G30),5)</f>
        <v>19185.579890000001</v>
      </c>
      <c r="H24" s="24">
        <f t="shared" si="6"/>
        <v>15135.3</v>
      </c>
      <c r="I24" s="24">
        <f t="shared" si="6"/>
        <v>15135.3</v>
      </c>
      <c r="J24" s="24">
        <f t="shared" ref="J24" si="7">ROUND(SUM(J25:J30),5)</f>
        <v>60541.2</v>
      </c>
    </row>
    <row r="25" spans="1:10" x14ac:dyDescent="0.25">
      <c r="A25" s="49"/>
      <c r="B25" s="50"/>
      <c r="C25" s="49"/>
      <c r="D25" s="14" t="s">
        <v>4</v>
      </c>
      <c r="E25" s="16">
        <f t="shared" si="0"/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</row>
    <row r="26" spans="1:10" ht="31.5" x14ac:dyDescent="0.25">
      <c r="A26" s="49"/>
      <c r="B26" s="50"/>
      <c r="C26" s="49"/>
      <c r="D26" s="14" t="s">
        <v>5</v>
      </c>
      <c r="E26" s="16">
        <f t="shared" si="0"/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x14ac:dyDescent="0.25">
      <c r="A27" s="49"/>
      <c r="B27" s="50"/>
      <c r="C27" s="49"/>
      <c r="D27" s="14" t="s">
        <v>6</v>
      </c>
      <c r="E27" s="16">
        <f>ROUND(SUM(F27:J27),5)</f>
        <v>29691.322550000001</v>
      </c>
      <c r="F27" s="10">
        <f>21507.5540299999-23+1659.66852</f>
        <v>23144.2225499999</v>
      </c>
      <c r="G27" s="10">
        <v>935.3</v>
      </c>
      <c r="H27" s="10">
        <v>935.3</v>
      </c>
      <c r="I27" s="10">
        <v>935.3</v>
      </c>
      <c r="J27" s="10">
        <f>4*935.3</f>
        <v>3741.2</v>
      </c>
    </row>
    <row r="28" spans="1:10" ht="47.25" x14ac:dyDescent="0.25">
      <c r="A28" s="49"/>
      <c r="B28" s="50"/>
      <c r="C28" s="49"/>
      <c r="D28" s="14" t="s">
        <v>8</v>
      </c>
      <c r="E28" s="16">
        <f t="shared" si="0"/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</row>
    <row r="29" spans="1:10" x14ac:dyDescent="0.25">
      <c r="A29" s="49"/>
      <c r="B29" s="50"/>
      <c r="C29" s="49"/>
      <c r="D29" s="14" t="s">
        <v>18</v>
      </c>
      <c r="E29" s="16">
        <f t="shared" si="0"/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</row>
    <row r="30" spans="1:10" ht="45.75" customHeight="1" x14ac:dyDescent="0.25">
      <c r="A30" s="49"/>
      <c r="B30" s="50"/>
      <c r="C30" s="49"/>
      <c r="D30" s="14" t="s">
        <v>7</v>
      </c>
      <c r="E30" s="16">
        <f t="shared" si="0"/>
        <v>103450.27989000001</v>
      </c>
      <c r="F30" s="65">
        <v>0</v>
      </c>
      <c r="G30" s="10">
        <v>18250.279890000002</v>
      </c>
      <c r="H30" s="10">
        <v>14200</v>
      </c>
      <c r="I30" s="10">
        <v>14200</v>
      </c>
      <c r="J30" s="10">
        <f>14200*4</f>
        <v>56800</v>
      </c>
    </row>
    <row r="31" spans="1:10" s="25" customFormat="1" x14ac:dyDescent="0.25">
      <c r="A31" s="49" t="s">
        <v>24</v>
      </c>
      <c r="B31" s="59" t="s">
        <v>89</v>
      </c>
      <c r="C31" s="49" t="s">
        <v>79</v>
      </c>
      <c r="D31" s="13" t="s">
        <v>3</v>
      </c>
      <c r="E31" s="18">
        <f t="shared" si="0"/>
        <v>143728.16191</v>
      </c>
      <c r="F31" s="24">
        <f t="shared" ref="F31" si="8">ROUND(SUM(F32:F37),5)</f>
        <v>16765.941910000001</v>
      </c>
      <c r="G31" s="24">
        <f t="shared" ref="G31:I31" si="9">ROUND(SUM(G32:G37),5)</f>
        <v>18137.46</v>
      </c>
      <c r="H31" s="24">
        <f t="shared" si="9"/>
        <v>18137.46</v>
      </c>
      <c r="I31" s="24">
        <f t="shared" si="9"/>
        <v>18137.46</v>
      </c>
      <c r="J31" s="24">
        <f t="shared" ref="J31" si="10">ROUND(SUM(J32:J37),5)</f>
        <v>72549.84</v>
      </c>
    </row>
    <row r="32" spans="1:10" x14ac:dyDescent="0.25">
      <c r="A32" s="49"/>
      <c r="B32" s="59"/>
      <c r="C32" s="49"/>
      <c r="D32" s="14" t="s">
        <v>4</v>
      </c>
      <c r="E32" s="16">
        <f t="shared" si="0"/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</row>
    <row r="33" spans="1:11" ht="31.5" x14ac:dyDescent="0.25">
      <c r="A33" s="49"/>
      <c r="B33" s="59"/>
      <c r="C33" s="49"/>
      <c r="D33" s="14" t="s">
        <v>5</v>
      </c>
      <c r="E33" s="16">
        <f t="shared" si="0"/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</row>
    <row r="34" spans="1:11" x14ac:dyDescent="0.25">
      <c r="A34" s="49"/>
      <c r="B34" s="59"/>
      <c r="C34" s="49"/>
      <c r="D34" s="14" t="s">
        <v>6</v>
      </c>
      <c r="E34" s="16">
        <f t="shared" si="0"/>
        <v>143728.16191</v>
      </c>
      <c r="F34" s="10">
        <f>17186.17808-317.36512-102.87105</f>
        <v>16765.941910000001</v>
      </c>
      <c r="G34" s="10">
        <v>18137.46</v>
      </c>
      <c r="H34" s="10">
        <v>18137.46</v>
      </c>
      <c r="I34" s="10">
        <v>18137.46</v>
      </c>
      <c r="J34" s="10">
        <f>4*18137.46</f>
        <v>72549.84</v>
      </c>
    </row>
    <row r="35" spans="1:11" ht="47.25" x14ac:dyDescent="0.25">
      <c r="A35" s="49"/>
      <c r="B35" s="59"/>
      <c r="C35" s="49"/>
      <c r="D35" s="14" t="s">
        <v>8</v>
      </c>
      <c r="E35" s="16">
        <f t="shared" si="0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</row>
    <row r="36" spans="1:11" x14ac:dyDescent="0.25">
      <c r="A36" s="49"/>
      <c r="B36" s="59"/>
      <c r="C36" s="49"/>
      <c r="D36" s="14" t="s">
        <v>18</v>
      </c>
      <c r="E36" s="16">
        <f t="shared" si="0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</row>
    <row r="37" spans="1:11" ht="44.25" customHeight="1" x14ac:dyDescent="0.25">
      <c r="A37" s="49"/>
      <c r="B37" s="59"/>
      <c r="C37" s="49"/>
      <c r="D37" s="14" t="s">
        <v>7</v>
      </c>
      <c r="E37" s="16">
        <f t="shared" si="0"/>
        <v>0</v>
      </c>
      <c r="F37" s="65">
        <v>0</v>
      </c>
      <c r="G37" s="10">
        <v>0</v>
      </c>
      <c r="H37" s="10">
        <v>0</v>
      </c>
      <c r="I37" s="10">
        <v>0</v>
      </c>
      <c r="J37" s="10">
        <v>0</v>
      </c>
    </row>
    <row r="38" spans="1:11" s="25" customFormat="1" x14ac:dyDescent="0.25">
      <c r="A38" s="49" t="s">
        <v>25</v>
      </c>
      <c r="B38" s="50" t="s">
        <v>90</v>
      </c>
      <c r="C38" s="49" t="s">
        <v>78</v>
      </c>
      <c r="D38" s="13" t="s">
        <v>3</v>
      </c>
      <c r="E38" s="18">
        <f t="shared" si="0"/>
        <v>11387589.834450001</v>
      </c>
      <c r="F38" s="24">
        <f t="shared" ref="F38" si="11">ROUND(SUM(F39:F44),5)</f>
        <v>2154988.8901300002</v>
      </c>
      <c r="G38" s="24">
        <f t="shared" ref="G38:I38" si="12">ROUND(SUM(G39:G44),5)</f>
        <v>2286777.0499999998</v>
      </c>
      <c r="H38" s="24">
        <f t="shared" si="12"/>
        <v>2376992.5580000002</v>
      </c>
      <c r="I38" s="24">
        <f t="shared" si="12"/>
        <v>2380831.3363199998</v>
      </c>
      <c r="J38" s="24">
        <f t="shared" ref="J38" si="13">ROUND(SUM(J39:J44),5)</f>
        <v>2188000</v>
      </c>
    </row>
    <row r="39" spans="1:11" x14ac:dyDescent="0.25">
      <c r="A39" s="49"/>
      <c r="B39" s="50"/>
      <c r="C39" s="49"/>
      <c r="D39" s="14" t="s">
        <v>4</v>
      </c>
      <c r="E39" s="16">
        <f t="shared" si="0"/>
        <v>208628.1</v>
      </c>
      <c r="F39" s="10">
        <f>56925.2-625-4161.6-449.3-1029</f>
        <v>50660.299999999996</v>
      </c>
      <c r="G39" s="10">
        <v>54298.1</v>
      </c>
      <c r="H39" s="10">
        <v>53309.1</v>
      </c>
      <c r="I39" s="10">
        <v>50360.6</v>
      </c>
      <c r="J39" s="10">
        <v>0</v>
      </c>
      <c r="K39" s="27"/>
    </row>
    <row r="40" spans="1:11" ht="31.5" x14ac:dyDescent="0.25">
      <c r="A40" s="49"/>
      <c r="B40" s="50"/>
      <c r="C40" s="49"/>
      <c r="D40" s="14" t="s">
        <v>5</v>
      </c>
      <c r="E40" s="16">
        <f t="shared" si="0"/>
        <v>6891342.2000000002</v>
      </c>
      <c r="F40" s="10">
        <f>1578197.9+59707.7+5368.1-800+12949.9-5086.5-7501.1-1169-549.1</f>
        <v>1641117.8999999997</v>
      </c>
      <c r="G40" s="10">
        <v>1670573.8</v>
      </c>
      <c r="H40" s="10">
        <v>1788573.2</v>
      </c>
      <c r="I40" s="10">
        <v>1791077.3</v>
      </c>
      <c r="J40" s="10"/>
    </row>
    <row r="41" spans="1:11" x14ac:dyDescent="0.25">
      <c r="A41" s="49"/>
      <c r="B41" s="50"/>
      <c r="C41" s="49"/>
      <c r="D41" s="14" t="s">
        <v>6</v>
      </c>
      <c r="E41" s="16">
        <f t="shared" si="0"/>
        <v>2688494.4636900001</v>
      </c>
      <c r="F41" s="10">
        <f>256007.625+7500-26.9+1875.344+2312.319+104644.77325+11000-373.03928+6.3+54826.60072+1030.74272+19487.48-246.60957+0.11222+4727.09172+303.0013+440+77.75343-1454.81343+1069.82652+3.08253</f>
        <v>463210.69013</v>
      </c>
      <c r="G41" s="10">
        <v>324002.92309</v>
      </c>
      <c r="H41" s="10">
        <v>308800.88659000001</v>
      </c>
      <c r="I41" s="10">
        <v>312479.96388</v>
      </c>
      <c r="J41" s="10">
        <f>320000*4</f>
        <v>1280000</v>
      </c>
    </row>
    <row r="42" spans="1:11" ht="47.25" x14ac:dyDescent="0.25">
      <c r="A42" s="49"/>
      <c r="B42" s="50"/>
      <c r="C42" s="49"/>
      <c r="D42" s="14" t="s">
        <v>8</v>
      </c>
      <c r="E42" s="16">
        <f t="shared" si="0"/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</row>
    <row r="43" spans="1:11" x14ac:dyDescent="0.25">
      <c r="A43" s="49"/>
      <c r="B43" s="50"/>
      <c r="C43" s="49"/>
      <c r="D43" s="14" t="s">
        <v>18</v>
      </c>
      <c r="E43" s="16">
        <f t="shared" si="0"/>
        <v>0</v>
      </c>
      <c r="F43" s="10">
        <v>0</v>
      </c>
      <c r="G43" s="10">
        <v>0</v>
      </c>
      <c r="H43" s="10">
        <v>0</v>
      </c>
      <c r="I43" s="10"/>
      <c r="J43" s="10">
        <v>0</v>
      </c>
    </row>
    <row r="44" spans="1:11" x14ac:dyDescent="0.25">
      <c r="A44" s="49"/>
      <c r="B44" s="50"/>
      <c r="C44" s="49"/>
      <c r="D44" s="14" t="s">
        <v>7</v>
      </c>
      <c r="E44" s="16">
        <f t="shared" si="0"/>
        <v>1599125.07076</v>
      </c>
      <c r="F44" s="66">
        <f>283530.525-2000-7500-8238.281-46000-52272.639-6372.13425-161147.47075</f>
        <v>0</v>
      </c>
      <c r="G44" s="15">
        <v>237902.22691</v>
      </c>
      <c r="H44" s="15">
        <v>226309.37140999999</v>
      </c>
      <c r="I44" s="15">
        <v>226913.47244000001</v>
      </c>
      <c r="J44" s="15">
        <f>227000*4</f>
        <v>908000</v>
      </c>
    </row>
    <row r="45" spans="1:11" s="25" customFormat="1" x14ac:dyDescent="0.25">
      <c r="A45" s="49" t="s">
        <v>74</v>
      </c>
      <c r="B45" s="50" t="s">
        <v>47</v>
      </c>
      <c r="C45" s="49" t="s">
        <v>79</v>
      </c>
      <c r="D45" s="13" t="s">
        <v>3</v>
      </c>
      <c r="E45" s="18">
        <f t="shared" si="0"/>
        <v>127185.4</v>
      </c>
      <c r="F45" s="24">
        <f t="shared" ref="F45" si="14">ROUND(SUM(F46:F51),5)</f>
        <v>25556.799999999999</v>
      </c>
      <c r="G45" s="24">
        <f t="shared" ref="G45:I45" si="15">ROUND(SUM(G46:G51),5)</f>
        <v>34630.800000000003</v>
      </c>
      <c r="H45" s="24">
        <f t="shared" si="15"/>
        <v>33498.9</v>
      </c>
      <c r="I45" s="24">
        <f t="shared" si="15"/>
        <v>33498.9</v>
      </c>
      <c r="J45" s="24">
        <f t="shared" ref="J45" si="16">ROUND(SUM(J46:J51),5)</f>
        <v>0</v>
      </c>
    </row>
    <row r="46" spans="1:11" x14ac:dyDescent="0.25">
      <c r="A46" s="49"/>
      <c r="B46" s="50"/>
      <c r="C46" s="49"/>
      <c r="D46" s="14" t="s">
        <v>4</v>
      </c>
      <c r="E46" s="16">
        <f t="shared" si="0"/>
        <v>42792.800000000003</v>
      </c>
      <c r="F46" s="10">
        <f>14740.4-4161.6-449.3</f>
        <v>10129.5</v>
      </c>
      <c r="G46" s="10">
        <v>12582</v>
      </c>
      <c r="H46" s="10">
        <v>11436.8</v>
      </c>
      <c r="I46" s="10">
        <v>8644.5</v>
      </c>
      <c r="J46" s="28">
        <v>0</v>
      </c>
    </row>
    <row r="47" spans="1:11" ht="31.5" x14ac:dyDescent="0.25">
      <c r="A47" s="49"/>
      <c r="B47" s="50"/>
      <c r="C47" s="49"/>
      <c r="D47" s="14" t="s">
        <v>5</v>
      </c>
      <c r="E47" s="16">
        <f t="shared" si="0"/>
        <v>71077.399999999994</v>
      </c>
      <c r="F47" s="10">
        <f>18016-5086.5-549.1</f>
        <v>12380.4</v>
      </c>
      <c r="G47" s="10">
        <v>18872.900000000001</v>
      </c>
      <c r="H47" s="10">
        <v>18660</v>
      </c>
      <c r="I47" s="10">
        <v>21164.1</v>
      </c>
      <c r="J47" s="28">
        <v>0</v>
      </c>
    </row>
    <row r="48" spans="1:11" x14ac:dyDescent="0.25">
      <c r="A48" s="49"/>
      <c r="B48" s="50"/>
      <c r="C48" s="49"/>
      <c r="D48" s="14" t="s">
        <v>6</v>
      </c>
      <c r="E48" s="16">
        <f t="shared" si="0"/>
        <v>13315.2</v>
      </c>
      <c r="F48" s="10">
        <f>4434-1251.9-135.2</f>
        <v>3046.9</v>
      </c>
      <c r="G48" s="10">
        <v>3175.9</v>
      </c>
      <c r="H48" s="10">
        <v>3402.1</v>
      </c>
      <c r="I48" s="10">
        <v>3690.3</v>
      </c>
      <c r="J48" s="28">
        <v>0</v>
      </c>
    </row>
    <row r="49" spans="1:10" ht="47.25" x14ac:dyDescent="0.25">
      <c r="A49" s="49"/>
      <c r="B49" s="50"/>
      <c r="C49" s="49"/>
      <c r="D49" s="14" t="s">
        <v>8</v>
      </c>
      <c r="E49" s="16">
        <f t="shared" ref="E49:E87" si="17">ROUND(SUM(F49:J49),5)</f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</row>
    <row r="50" spans="1:10" x14ac:dyDescent="0.25">
      <c r="A50" s="49"/>
      <c r="B50" s="50"/>
      <c r="C50" s="49"/>
      <c r="D50" s="14" t="s">
        <v>18</v>
      </c>
      <c r="E50" s="16">
        <f t="shared" si="17"/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</row>
    <row r="51" spans="1:10" x14ac:dyDescent="0.25">
      <c r="A51" s="49"/>
      <c r="B51" s="50"/>
      <c r="C51" s="49"/>
      <c r="D51" s="14" t="s">
        <v>7</v>
      </c>
      <c r="E51" s="16">
        <f t="shared" si="17"/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</row>
    <row r="52" spans="1:10" s="25" customFormat="1" x14ac:dyDescent="0.25">
      <c r="A52" s="49" t="s">
        <v>75</v>
      </c>
      <c r="B52" s="50" t="s">
        <v>46</v>
      </c>
      <c r="C52" s="49" t="s">
        <v>79</v>
      </c>
      <c r="D52" s="13" t="s">
        <v>3</v>
      </c>
      <c r="E52" s="18">
        <f t="shared" si="17"/>
        <v>165835.29999999999</v>
      </c>
      <c r="F52" s="24">
        <f t="shared" ref="F52" si="18">ROUND(SUM(F53:F58),5)</f>
        <v>40530.800000000003</v>
      </c>
      <c r="G52" s="24">
        <f t="shared" ref="G52:I52" si="19">ROUND(SUM(G53:G58),5)</f>
        <v>41716.1</v>
      </c>
      <c r="H52" s="24">
        <f t="shared" si="19"/>
        <v>41872.300000000003</v>
      </c>
      <c r="I52" s="24">
        <f t="shared" si="19"/>
        <v>41716.1</v>
      </c>
      <c r="J52" s="24">
        <f t="shared" ref="J52" si="20">ROUND(SUM(J53:J58),5)</f>
        <v>0</v>
      </c>
    </row>
    <row r="53" spans="1:10" x14ac:dyDescent="0.25">
      <c r="A53" s="49"/>
      <c r="B53" s="50"/>
      <c r="C53" s="49"/>
      <c r="D53" s="14" t="s">
        <v>4</v>
      </c>
      <c r="E53" s="16">
        <f t="shared" si="17"/>
        <v>165835.29999999999</v>
      </c>
      <c r="F53" s="10">
        <f>42184.8-625-1029</f>
        <v>40530.800000000003</v>
      </c>
      <c r="G53" s="10">
        <v>41716.1</v>
      </c>
      <c r="H53" s="10">
        <v>41872.300000000003</v>
      </c>
      <c r="I53" s="10">
        <v>41716.1</v>
      </c>
      <c r="J53" s="28">
        <v>0</v>
      </c>
    </row>
    <row r="54" spans="1:10" ht="31.5" x14ac:dyDescent="0.25">
      <c r="A54" s="49"/>
      <c r="B54" s="50"/>
      <c r="C54" s="49"/>
      <c r="D54" s="14" t="s">
        <v>5</v>
      </c>
      <c r="E54" s="16">
        <f t="shared" si="17"/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</row>
    <row r="55" spans="1:10" x14ac:dyDescent="0.25">
      <c r="A55" s="49"/>
      <c r="B55" s="50"/>
      <c r="C55" s="49"/>
      <c r="D55" s="14" t="s">
        <v>6</v>
      </c>
      <c r="E55" s="16">
        <f t="shared" si="17"/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</row>
    <row r="56" spans="1:10" ht="47.25" x14ac:dyDescent="0.25">
      <c r="A56" s="49"/>
      <c r="B56" s="50"/>
      <c r="C56" s="49"/>
      <c r="D56" s="14" t="s">
        <v>8</v>
      </c>
      <c r="E56" s="16">
        <f t="shared" si="17"/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</row>
    <row r="57" spans="1:10" x14ac:dyDescent="0.25">
      <c r="A57" s="49"/>
      <c r="B57" s="50"/>
      <c r="C57" s="49"/>
      <c r="D57" s="14" t="s">
        <v>18</v>
      </c>
      <c r="E57" s="16">
        <f t="shared" si="17"/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</row>
    <row r="58" spans="1:10" x14ac:dyDescent="0.25">
      <c r="A58" s="49"/>
      <c r="B58" s="50"/>
      <c r="C58" s="49"/>
      <c r="D58" s="14" t="s">
        <v>7</v>
      </c>
      <c r="E58" s="16">
        <f t="shared" si="17"/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</row>
    <row r="59" spans="1:10" x14ac:dyDescent="0.25">
      <c r="A59" s="49" t="s">
        <v>76</v>
      </c>
      <c r="B59" s="50" t="s">
        <v>72</v>
      </c>
      <c r="C59" s="49" t="s">
        <v>78</v>
      </c>
      <c r="D59" s="13" t="s">
        <v>3</v>
      </c>
      <c r="E59" s="24">
        <f t="shared" ref="E59:E65" si="21">ROUND(SUM(F59:J59),5)</f>
        <v>0</v>
      </c>
      <c r="F59" s="24">
        <f t="shared" ref="F59:J59" si="22">ROUND(SUM(F60:F65),5)</f>
        <v>0</v>
      </c>
      <c r="G59" s="24">
        <f t="shared" si="22"/>
        <v>0</v>
      </c>
      <c r="H59" s="24">
        <f t="shared" si="22"/>
        <v>0</v>
      </c>
      <c r="I59" s="24">
        <f t="shared" si="22"/>
        <v>0</v>
      </c>
      <c r="J59" s="24">
        <f t="shared" si="22"/>
        <v>0</v>
      </c>
    </row>
    <row r="60" spans="1:10" x14ac:dyDescent="0.25">
      <c r="A60" s="49"/>
      <c r="B60" s="50"/>
      <c r="C60" s="49"/>
      <c r="D60" s="14" t="s">
        <v>4</v>
      </c>
      <c r="E60" s="12">
        <f t="shared" si="21"/>
        <v>0</v>
      </c>
      <c r="F60" s="11">
        <f>1038.5-1038.5</f>
        <v>0</v>
      </c>
      <c r="G60" s="11">
        <f>1023.8-1023.8</f>
        <v>0</v>
      </c>
      <c r="H60" s="11">
        <f>1023.8-1023.8</f>
        <v>0</v>
      </c>
      <c r="I60" s="11">
        <v>0</v>
      </c>
      <c r="J60" s="29">
        <v>0</v>
      </c>
    </row>
    <row r="61" spans="1:10" ht="31.5" x14ac:dyDescent="0.25">
      <c r="A61" s="49"/>
      <c r="B61" s="50"/>
      <c r="C61" s="49"/>
      <c r="D61" s="14" t="s">
        <v>5</v>
      </c>
      <c r="E61" s="12">
        <f t="shared" si="21"/>
        <v>0</v>
      </c>
      <c r="F61" s="11">
        <f>1624.3-1624.3</f>
        <v>0</v>
      </c>
      <c r="G61" s="11">
        <f>1601.2-1601.2</f>
        <v>0</v>
      </c>
      <c r="H61" s="11">
        <f>1601.2-1601.2</f>
        <v>0</v>
      </c>
      <c r="I61" s="11">
        <v>0</v>
      </c>
      <c r="J61" s="11">
        <v>0</v>
      </c>
    </row>
    <row r="62" spans="1:10" x14ac:dyDescent="0.25">
      <c r="A62" s="49"/>
      <c r="B62" s="50"/>
      <c r="C62" s="49"/>
      <c r="D62" s="14" t="s">
        <v>6</v>
      </c>
      <c r="E62" s="12">
        <f t="shared" si="21"/>
        <v>0</v>
      </c>
      <c r="F62" s="11">
        <f>26.9-26.9</f>
        <v>0</v>
      </c>
      <c r="G62" s="11">
        <f>26.5-26.5</f>
        <v>0</v>
      </c>
      <c r="H62" s="11">
        <f>26.5-26.5</f>
        <v>0</v>
      </c>
      <c r="I62" s="11">
        <v>0</v>
      </c>
      <c r="J62" s="11">
        <v>0</v>
      </c>
    </row>
    <row r="63" spans="1:10" ht="35.25" customHeight="1" x14ac:dyDescent="0.25">
      <c r="A63" s="49"/>
      <c r="B63" s="50"/>
      <c r="C63" s="49"/>
      <c r="D63" s="14" t="s">
        <v>8</v>
      </c>
      <c r="E63" s="12">
        <f t="shared" si="21"/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</row>
    <row r="64" spans="1:10" x14ac:dyDescent="0.25">
      <c r="A64" s="49"/>
      <c r="B64" s="50"/>
      <c r="C64" s="49"/>
      <c r="D64" s="14" t="s">
        <v>18</v>
      </c>
      <c r="E64" s="12">
        <f t="shared" si="21"/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</row>
    <row r="65" spans="1:10" x14ac:dyDescent="0.25">
      <c r="A65" s="49"/>
      <c r="B65" s="50"/>
      <c r="C65" s="49"/>
      <c r="D65" s="14" t="s">
        <v>7</v>
      </c>
      <c r="E65" s="12">
        <f t="shared" si="21"/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</row>
    <row r="66" spans="1:10" s="25" customFormat="1" x14ac:dyDescent="0.25">
      <c r="A66" s="49" t="s">
        <v>51</v>
      </c>
      <c r="B66" s="50" t="s">
        <v>58</v>
      </c>
      <c r="C66" s="49" t="s">
        <v>79</v>
      </c>
      <c r="D66" s="13" t="s">
        <v>3</v>
      </c>
      <c r="E66" s="18">
        <f t="shared" si="17"/>
        <v>5255.9918399999997</v>
      </c>
      <c r="F66" s="24">
        <f t="shared" ref="F66" si="23">ROUND(SUM(F67:F72),5)</f>
        <v>546.82136000000003</v>
      </c>
      <c r="G66" s="24">
        <f t="shared" ref="G66:I66" si="24">ROUND(SUM(G67:G72),5)</f>
        <v>672.73864000000003</v>
      </c>
      <c r="H66" s="24">
        <f t="shared" si="24"/>
        <v>672.73864000000003</v>
      </c>
      <c r="I66" s="24">
        <f t="shared" si="24"/>
        <v>672.73864000000003</v>
      </c>
      <c r="J66" s="24">
        <f t="shared" ref="J66" si="25">ROUND(SUM(J67:J72),5)</f>
        <v>2690.9545600000001</v>
      </c>
    </row>
    <row r="67" spans="1:10" x14ac:dyDescent="0.25">
      <c r="A67" s="49"/>
      <c r="B67" s="50"/>
      <c r="C67" s="49"/>
      <c r="D67" s="14" t="s">
        <v>4</v>
      </c>
      <c r="E67" s="16">
        <f t="shared" si="17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</row>
    <row r="68" spans="1:10" ht="31.5" x14ac:dyDescent="0.25">
      <c r="A68" s="49"/>
      <c r="B68" s="50"/>
      <c r="C68" s="49"/>
      <c r="D68" s="14" t="s">
        <v>5</v>
      </c>
      <c r="E68" s="16">
        <f t="shared" si="17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</row>
    <row r="69" spans="1:10" x14ac:dyDescent="0.25">
      <c r="A69" s="49"/>
      <c r="B69" s="50"/>
      <c r="C69" s="49"/>
      <c r="D69" s="14" t="s">
        <v>6</v>
      </c>
      <c r="E69" s="16">
        <f t="shared" si="17"/>
        <v>5255.9918399999997</v>
      </c>
      <c r="F69" s="10">
        <f>705.2-0.1244-151.95424-6.3</f>
        <v>546.82136000000003</v>
      </c>
      <c r="G69" s="10">
        <v>672.73864000000003</v>
      </c>
      <c r="H69" s="10">
        <v>672.73864000000003</v>
      </c>
      <c r="I69" s="10">
        <v>672.73864000000003</v>
      </c>
      <c r="J69" s="10">
        <f>4*672.73864</f>
        <v>2690.9545600000001</v>
      </c>
    </row>
    <row r="70" spans="1:10" ht="33" customHeight="1" x14ac:dyDescent="0.25">
      <c r="A70" s="49"/>
      <c r="B70" s="50"/>
      <c r="C70" s="49"/>
      <c r="D70" s="14" t="s">
        <v>8</v>
      </c>
      <c r="E70" s="16">
        <f t="shared" si="17"/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</row>
    <row r="71" spans="1:10" x14ac:dyDescent="0.25">
      <c r="A71" s="49"/>
      <c r="B71" s="50"/>
      <c r="C71" s="49"/>
      <c r="D71" s="14" t="s">
        <v>18</v>
      </c>
      <c r="E71" s="16">
        <f t="shared" si="17"/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</row>
    <row r="72" spans="1:10" x14ac:dyDescent="0.25">
      <c r="A72" s="49"/>
      <c r="B72" s="50"/>
      <c r="C72" s="49"/>
      <c r="D72" s="14" t="s">
        <v>7</v>
      </c>
      <c r="E72" s="16">
        <f t="shared" si="17"/>
        <v>0</v>
      </c>
      <c r="F72" s="10">
        <f t="shared" ref="F72:J72" si="26">100-100</f>
        <v>0</v>
      </c>
      <c r="G72" s="10">
        <f t="shared" si="26"/>
        <v>0</v>
      </c>
      <c r="H72" s="10">
        <f t="shared" si="26"/>
        <v>0</v>
      </c>
      <c r="I72" s="10">
        <v>0</v>
      </c>
      <c r="J72" s="10">
        <f t="shared" si="26"/>
        <v>0</v>
      </c>
    </row>
    <row r="73" spans="1:10" s="25" customFormat="1" x14ac:dyDescent="0.25">
      <c r="A73" s="49" t="s">
        <v>77</v>
      </c>
      <c r="B73" s="50" t="s">
        <v>91</v>
      </c>
      <c r="C73" s="51" t="s">
        <v>80</v>
      </c>
      <c r="D73" s="13" t="s">
        <v>3</v>
      </c>
      <c r="E73" s="18">
        <f t="shared" si="17"/>
        <v>121260.71368</v>
      </c>
      <c r="F73" s="24">
        <f t="shared" ref="F73" si="27">ROUND(SUM(F74:F79),5)</f>
        <v>22890.15998</v>
      </c>
      <c r="G73" s="24">
        <f t="shared" ref="G73:I73" si="28">ROUND(SUM(G74:G79),5)</f>
        <v>22550.079099999999</v>
      </c>
      <c r="H73" s="24">
        <f t="shared" si="28"/>
        <v>22550.079099999999</v>
      </c>
      <c r="I73" s="24">
        <f t="shared" si="28"/>
        <v>22550.079099999999</v>
      </c>
      <c r="J73" s="24">
        <f t="shared" ref="J73" si="29">ROUND(SUM(J74:J79),5)</f>
        <v>30720.3164</v>
      </c>
    </row>
    <row r="74" spans="1:10" x14ac:dyDescent="0.25">
      <c r="A74" s="49"/>
      <c r="B74" s="50"/>
      <c r="C74" s="51"/>
      <c r="D74" s="14" t="s">
        <v>4</v>
      </c>
      <c r="E74" s="16">
        <f t="shared" si="17"/>
        <v>0</v>
      </c>
      <c r="F74" s="30">
        <f t="shared" ref="F74:J74" si="30">ROUND(F81+F88,5)</f>
        <v>0</v>
      </c>
      <c r="G74" s="30">
        <f t="shared" si="30"/>
        <v>0</v>
      </c>
      <c r="H74" s="30">
        <f t="shared" ref="H74:I74" si="31">ROUND(H81+H88,5)</f>
        <v>0</v>
      </c>
      <c r="I74" s="30">
        <f t="shared" si="31"/>
        <v>0</v>
      </c>
      <c r="J74" s="30">
        <f t="shared" si="30"/>
        <v>0</v>
      </c>
    </row>
    <row r="75" spans="1:10" ht="31.5" x14ac:dyDescent="0.25">
      <c r="A75" s="49"/>
      <c r="B75" s="50"/>
      <c r="C75" s="51"/>
      <c r="D75" s="14" t="s">
        <v>5</v>
      </c>
      <c r="E75" s="16">
        <f t="shared" si="17"/>
        <v>59545.7</v>
      </c>
      <c r="F75" s="30">
        <f t="shared" ref="F75:J79" si="32">ROUND(F82+F89,5)</f>
        <v>14935.7</v>
      </c>
      <c r="G75" s="30">
        <f t="shared" si="32"/>
        <v>14870</v>
      </c>
      <c r="H75" s="30">
        <f t="shared" ref="H75:I75" si="33">ROUND(H82+H89,5)</f>
        <v>14870</v>
      </c>
      <c r="I75" s="30">
        <f t="shared" si="33"/>
        <v>14870</v>
      </c>
      <c r="J75" s="30">
        <f t="shared" si="32"/>
        <v>0</v>
      </c>
    </row>
    <row r="76" spans="1:10" x14ac:dyDescent="0.25">
      <c r="A76" s="49"/>
      <c r="B76" s="50"/>
      <c r="C76" s="51"/>
      <c r="D76" s="14" t="s">
        <v>6</v>
      </c>
      <c r="E76" s="16">
        <f t="shared" si="17"/>
        <v>61715.013679999996</v>
      </c>
      <c r="F76" s="30">
        <f>ROUND(F83+F90,5)</f>
        <v>7954.4599799999996</v>
      </c>
      <c r="G76" s="30">
        <f>ROUND(G83+G90,5)</f>
        <v>7680.0790999999999</v>
      </c>
      <c r="H76" s="30">
        <f t="shared" ref="H76:I76" si="34">ROUND(H83+H90,5)</f>
        <v>7680.0790999999999</v>
      </c>
      <c r="I76" s="30">
        <f t="shared" si="34"/>
        <v>7680.0790999999999</v>
      </c>
      <c r="J76" s="30">
        <f>ROUND(J83+J90,5)</f>
        <v>30720.3164</v>
      </c>
    </row>
    <row r="77" spans="1:10" ht="39.75" customHeight="1" x14ac:dyDescent="0.25">
      <c r="A77" s="49"/>
      <c r="B77" s="50"/>
      <c r="C77" s="51"/>
      <c r="D77" s="14" t="s">
        <v>8</v>
      </c>
      <c r="E77" s="16">
        <f t="shared" si="17"/>
        <v>0</v>
      </c>
      <c r="F77" s="30">
        <f t="shared" si="32"/>
        <v>0</v>
      </c>
      <c r="G77" s="30">
        <f t="shared" si="32"/>
        <v>0</v>
      </c>
      <c r="H77" s="30">
        <f>ROUND(H84+H91,5)</f>
        <v>0</v>
      </c>
      <c r="I77" s="30">
        <f>ROUND(I84+I91,5)</f>
        <v>0</v>
      </c>
      <c r="J77" s="30">
        <f t="shared" si="32"/>
        <v>0</v>
      </c>
    </row>
    <row r="78" spans="1:10" x14ac:dyDescent="0.25">
      <c r="A78" s="49"/>
      <c r="B78" s="50"/>
      <c r="C78" s="51"/>
      <c r="D78" s="14" t="s">
        <v>18</v>
      </c>
      <c r="E78" s="16">
        <f t="shared" si="17"/>
        <v>0</v>
      </c>
      <c r="F78" s="30">
        <f t="shared" si="32"/>
        <v>0</v>
      </c>
      <c r="G78" s="30">
        <f t="shared" si="32"/>
        <v>0</v>
      </c>
      <c r="H78" s="30">
        <f t="shared" ref="H78:I78" si="35">ROUND(H85+H92,5)</f>
        <v>0</v>
      </c>
      <c r="I78" s="30">
        <f t="shared" si="35"/>
        <v>0</v>
      </c>
      <c r="J78" s="30">
        <f t="shared" si="32"/>
        <v>0</v>
      </c>
    </row>
    <row r="79" spans="1:10" x14ac:dyDescent="0.25">
      <c r="A79" s="49"/>
      <c r="B79" s="50"/>
      <c r="C79" s="51"/>
      <c r="D79" s="14" t="s">
        <v>7</v>
      </c>
      <c r="E79" s="16">
        <f t="shared" si="17"/>
        <v>0</v>
      </c>
      <c r="F79" s="30">
        <f t="shared" si="32"/>
        <v>0</v>
      </c>
      <c r="G79" s="30">
        <f t="shared" si="32"/>
        <v>0</v>
      </c>
      <c r="H79" s="30">
        <f t="shared" ref="H79:I79" si="36">ROUND(H86+H93,5)</f>
        <v>0</v>
      </c>
      <c r="I79" s="30">
        <f t="shared" si="36"/>
        <v>0</v>
      </c>
      <c r="J79" s="30">
        <f t="shared" si="32"/>
        <v>0</v>
      </c>
    </row>
    <row r="80" spans="1:10" s="25" customFormat="1" x14ac:dyDescent="0.25">
      <c r="A80" s="49"/>
      <c r="B80" s="50"/>
      <c r="C80" s="49" t="s">
        <v>81</v>
      </c>
      <c r="D80" s="13" t="s">
        <v>3</v>
      </c>
      <c r="E80" s="18">
        <f t="shared" si="17"/>
        <v>120460.71368</v>
      </c>
      <c r="F80" s="24">
        <f t="shared" ref="F80" si="37">ROUND(SUM(F81:F86),5)</f>
        <v>22790.15998</v>
      </c>
      <c r="G80" s="24">
        <f t="shared" ref="G80:I80" si="38">ROUND(SUM(G81:G86),5)</f>
        <v>22450.079099999999</v>
      </c>
      <c r="H80" s="24">
        <f t="shared" si="38"/>
        <v>22450.079099999999</v>
      </c>
      <c r="I80" s="24">
        <f t="shared" si="38"/>
        <v>22450.079099999999</v>
      </c>
      <c r="J80" s="24">
        <f t="shared" ref="J80" si="39">ROUND(SUM(J81:J86),5)</f>
        <v>30320.3164</v>
      </c>
    </row>
    <row r="81" spans="1:10" x14ac:dyDescent="0.25">
      <c r="A81" s="49"/>
      <c r="B81" s="50"/>
      <c r="C81" s="49"/>
      <c r="D81" s="14" t="s">
        <v>4</v>
      </c>
      <c r="E81" s="16">
        <f t="shared" si="17"/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</row>
    <row r="82" spans="1:10" ht="31.5" x14ac:dyDescent="0.25">
      <c r="A82" s="49"/>
      <c r="B82" s="50"/>
      <c r="C82" s="49"/>
      <c r="D82" s="14" t="s">
        <v>5</v>
      </c>
      <c r="E82" s="16">
        <f t="shared" si="17"/>
        <v>59545.7</v>
      </c>
      <c r="F82" s="10">
        <f>15325.7-390</f>
        <v>14935.7</v>
      </c>
      <c r="G82" s="10">
        <v>14870</v>
      </c>
      <c r="H82" s="10">
        <v>14870</v>
      </c>
      <c r="I82" s="10">
        <v>14870</v>
      </c>
      <c r="J82" s="10">
        <v>0</v>
      </c>
    </row>
    <row r="83" spans="1:10" x14ac:dyDescent="0.25">
      <c r="A83" s="49"/>
      <c r="B83" s="50"/>
      <c r="C83" s="49"/>
      <c r="D83" s="14" t="s">
        <v>6</v>
      </c>
      <c r="E83" s="16">
        <f t="shared" si="17"/>
        <v>60915.013679999996</v>
      </c>
      <c r="F83" s="10">
        <f>9062.8-495.5-587.39181-12.278-7.80458-32.64534-25-34.57067-0.18453-12.96509</f>
        <v>7854.4599799999987</v>
      </c>
      <c r="G83" s="10">
        <v>7580.0790999999999</v>
      </c>
      <c r="H83" s="10">
        <v>7580.0790999999999</v>
      </c>
      <c r="I83" s="10">
        <v>7580.0790999999999</v>
      </c>
      <c r="J83" s="10">
        <f>4*7580.0791</f>
        <v>30320.3164</v>
      </c>
    </row>
    <row r="84" spans="1:10" ht="38.25" customHeight="1" x14ac:dyDescent="0.25">
      <c r="A84" s="49"/>
      <c r="B84" s="50"/>
      <c r="C84" s="49"/>
      <c r="D84" s="14" t="s">
        <v>8</v>
      </c>
      <c r="E84" s="16">
        <f t="shared" si="17"/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</row>
    <row r="85" spans="1:10" x14ac:dyDescent="0.25">
      <c r="A85" s="49"/>
      <c r="B85" s="50"/>
      <c r="C85" s="49"/>
      <c r="D85" s="14" t="s">
        <v>18</v>
      </c>
      <c r="E85" s="16">
        <f t="shared" si="17"/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</row>
    <row r="86" spans="1:10" x14ac:dyDescent="0.25">
      <c r="A86" s="49"/>
      <c r="B86" s="50"/>
      <c r="C86" s="49"/>
      <c r="D86" s="14" t="s">
        <v>7</v>
      </c>
      <c r="E86" s="16">
        <f t="shared" si="17"/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</row>
    <row r="87" spans="1:10" s="25" customFormat="1" x14ac:dyDescent="0.25">
      <c r="A87" s="49"/>
      <c r="B87" s="50"/>
      <c r="C87" s="49" t="s">
        <v>68</v>
      </c>
      <c r="D87" s="13" t="s">
        <v>3</v>
      </c>
      <c r="E87" s="18">
        <f t="shared" si="17"/>
        <v>800</v>
      </c>
      <c r="F87" s="24">
        <f t="shared" ref="F87" si="40">ROUND(SUM(F88:F93),5)</f>
        <v>100</v>
      </c>
      <c r="G87" s="24">
        <f t="shared" ref="G87:I87" si="41">ROUND(SUM(G88:G93),5)</f>
        <v>100</v>
      </c>
      <c r="H87" s="24">
        <f t="shared" si="41"/>
        <v>100</v>
      </c>
      <c r="I87" s="24">
        <f t="shared" si="41"/>
        <v>100</v>
      </c>
      <c r="J87" s="24">
        <f t="shared" ref="J87" si="42">ROUND(SUM(J88:J93),5)</f>
        <v>400</v>
      </c>
    </row>
    <row r="88" spans="1:10" x14ac:dyDescent="0.25">
      <c r="A88" s="49"/>
      <c r="B88" s="50"/>
      <c r="C88" s="49"/>
      <c r="D88" s="14" t="s">
        <v>4</v>
      </c>
      <c r="E88" s="16">
        <f t="shared" ref="E88:E100" si="43">ROUND(SUM(F88:J88),5)</f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</row>
    <row r="89" spans="1:10" ht="31.5" x14ac:dyDescent="0.25">
      <c r="A89" s="49"/>
      <c r="B89" s="50"/>
      <c r="C89" s="49"/>
      <c r="D89" s="14" t="s">
        <v>5</v>
      </c>
      <c r="E89" s="16">
        <f t="shared" si="43"/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</row>
    <row r="90" spans="1:10" x14ac:dyDescent="0.25">
      <c r="A90" s="49"/>
      <c r="B90" s="50"/>
      <c r="C90" s="49"/>
      <c r="D90" s="14" t="s">
        <v>6</v>
      </c>
      <c r="E90" s="16">
        <f t="shared" si="43"/>
        <v>800</v>
      </c>
      <c r="F90" s="10">
        <v>100</v>
      </c>
      <c r="G90" s="10">
        <v>100</v>
      </c>
      <c r="H90" s="10">
        <v>100</v>
      </c>
      <c r="I90" s="10">
        <v>100</v>
      </c>
      <c r="J90" s="10">
        <f>4*100</f>
        <v>400</v>
      </c>
    </row>
    <row r="91" spans="1:10" ht="47.25" x14ac:dyDescent="0.25">
      <c r="A91" s="49"/>
      <c r="B91" s="50"/>
      <c r="C91" s="49"/>
      <c r="D91" s="14" t="s">
        <v>8</v>
      </c>
      <c r="E91" s="16">
        <f t="shared" si="43"/>
        <v>0</v>
      </c>
      <c r="F91" s="10">
        <v>0</v>
      </c>
      <c r="G91" s="10">
        <v>0</v>
      </c>
      <c r="H91" s="10">
        <v>0</v>
      </c>
      <c r="I91" s="10">
        <v>0</v>
      </c>
      <c r="J91" s="10"/>
    </row>
    <row r="92" spans="1:10" x14ac:dyDescent="0.25">
      <c r="A92" s="49"/>
      <c r="B92" s="50"/>
      <c r="C92" s="49"/>
      <c r="D92" s="14" t="s">
        <v>18</v>
      </c>
      <c r="E92" s="16">
        <f t="shared" si="43"/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</row>
    <row r="93" spans="1:10" x14ac:dyDescent="0.25">
      <c r="A93" s="49"/>
      <c r="B93" s="50"/>
      <c r="C93" s="49"/>
      <c r="D93" s="14" t="s">
        <v>7</v>
      </c>
      <c r="E93" s="16">
        <f t="shared" si="43"/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</row>
    <row r="94" spans="1:10" s="25" customFormat="1" x14ac:dyDescent="0.25">
      <c r="A94" s="49"/>
      <c r="B94" s="50" t="s">
        <v>9</v>
      </c>
      <c r="C94" s="49"/>
      <c r="D94" s="13" t="s">
        <v>3</v>
      </c>
      <c r="E94" s="18">
        <f t="shared" si="43"/>
        <v>11802175.49932</v>
      </c>
      <c r="F94" s="24">
        <f t="shared" ref="F94" si="44">ROUND(SUM(F95:F100),5)</f>
        <v>2221025.73593</v>
      </c>
      <c r="G94" s="24">
        <f t="shared" ref="G94:I94" si="45">ROUND(SUM(G95:G100),5)</f>
        <v>2349974.82663</v>
      </c>
      <c r="H94" s="24">
        <f t="shared" si="45"/>
        <v>2436140.0547400001</v>
      </c>
      <c r="I94" s="24">
        <f t="shared" si="45"/>
        <v>2440532.57106</v>
      </c>
      <c r="J94" s="24">
        <f t="shared" ref="J94" si="46">ROUND(SUM(J95:J100),5)</f>
        <v>2354502.3109599999</v>
      </c>
    </row>
    <row r="95" spans="1:10" x14ac:dyDescent="0.25">
      <c r="A95" s="49"/>
      <c r="B95" s="50"/>
      <c r="C95" s="49"/>
      <c r="D95" s="14" t="s">
        <v>4</v>
      </c>
      <c r="E95" s="16">
        <f t="shared" si="43"/>
        <v>212761.7</v>
      </c>
      <c r="F95" s="10">
        <f>ROUND(F25+F32+F39+F67+F74+F11+F18,5)</f>
        <v>51698.8</v>
      </c>
      <c r="G95" s="10">
        <f t="shared" ref="G95:J95" si="47">ROUND(G25+G32+G39+G67+G74+G11+G18,5)</f>
        <v>55322</v>
      </c>
      <c r="H95" s="10">
        <f t="shared" si="47"/>
        <v>54333</v>
      </c>
      <c r="I95" s="10">
        <f t="shared" si="47"/>
        <v>51407.9</v>
      </c>
      <c r="J95" s="10">
        <f t="shared" si="47"/>
        <v>0</v>
      </c>
    </row>
    <row r="96" spans="1:10" ht="31.5" x14ac:dyDescent="0.25">
      <c r="A96" s="49"/>
      <c r="B96" s="50"/>
      <c r="C96" s="49"/>
      <c r="D96" s="14" t="s">
        <v>5</v>
      </c>
      <c r="E96" s="16">
        <f t="shared" si="43"/>
        <v>6957841.5</v>
      </c>
      <c r="F96" s="10">
        <f>ROUND(F26+F33+F40+F68+F75+F12+F19,5)</f>
        <v>1657677.9</v>
      </c>
      <c r="G96" s="10">
        <f t="shared" ref="G96:J96" si="48">ROUND(G26+G33+G40+G68+G75+G12+G19,5)</f>
        <v>1687045.3</v>
      </c>
      <c r="H96" s="10">
        <f t="shared" si="48"/>
        <v>1805044.7</v>
      </c>
      <c r="I96" s="10">
        <f t="shared" si="48"/>
        <v>1808073.6</v>
      </c>
      <c r="J96" s="10">
        <f t="shared" si="48"/>
        <v>0</v>
      </c>
    </row>
    <row r="97" spans="1:10" x14ac:dyDescent="0.25">
      <c r="A97" s="49"/>
      <c r="B97" s="50"/>
      <c r="C97" s="49"/>
      <c r="D97" s="14" t="s">
        <v>6</v>
      </c>
      <c r="E97" s="16">
        <f t="shared" si="43"/>
        <v>2928996.9486699998</v>
      </c>
      <c r="F97" s="10">
        <f>ROUND(F27+F34+F41+F69+F76+F13+F20,5)</f>
        <v>511649.03593000001</v>
      </c>
      <c r="G97" s="10">
        <f t="shared" ref="G97:J97" si="49">ROUND(G27+G34+G41+G69+G76+G13+G20,5)</f>
        <v>351455.01983</v>
      </c>
      <c r="H97" s="10">
        <f t="shared" si="49"/>
        <v>336252.98333000002</v>
      </c>
      <c r="I97" s="10">
        <f t="shared" si="49"/>
        <v>339937.59862</v>
      </c>
      <c r="J97" s="10">
        <f t="shared" si="49"/>
        <v>1389702.3109599999</v>
      </c>
    </row>
    <row r="98" spans="1:10" ht="39.75" customHeight="1" x14ac:dyDescent="0.25">
      <c r="A98" s="49"/>
      <c r="B98" s="50"/>
      <c r="C98" s="49"/>
      <c r="D98" s="14" t="s">
        <v>8</v>
      </c>
      <c r="E98" s="16">
        <f t="shared" si="43"/>
        <v>0</v>
      </c>
      <c r="F98" s="10">
        <f t="shared" ref="F98:J98" si="50">ROUND(F28+F35+F42+F70+F77+F14,5)</f>
        <v>0</v>
      </c>
      <c r="G98" s="10">
        <f t="shared" si="50"/>
        <v>0</v>
      </c>
      <c r="H98" s="10">
        <f t="shared" ref="H98:I98" si="51">ROUND(H28+H35+H42+H70+H77+H14,5)</f>
        <v>0</v>
      </c>
      <c r="I98" s="10">
        <f t="shared" si="51"/>
        <v>0</v>
      </c>
      <c r="J98" s="10">
        <f t="shared" si="50"/>
        <v>0</v>
      </c>
    </row>
    <row r="99" spans="1:10" x14ac:dyDescent="0.25">
      <c r="A99" s="49"/>
      <c r="B99" s="50"/>
      <c r="C99" s="49"/>
      <c r="D99" s="14" t="s">
        <v>18</v>
      </c>
      <c r="E99" s="16">
        <f t="shared" si="43"/>
        <v>0</v>
      </c>
      <c r="F99" s="10">
        <f t="shared" ref="F99:J99" si="52">ROUND(F29+F36+F43+F71+F78+F15,5)</f>
        <v>0</v>
      </c>
      <c r="G99" s="10">
        <f t="shared" si="52"/>
        <v>0</v>
      </c>
      <c r="H99" s="10">
        <f t="shared" ref="H99:I99" si="53">ROUND(H29+H36+H43+H71+H78+H15,5)</f>
        <v>0</v>
      </c>
      <c r="I99" s="10">
        <f t="shared" si="53"/>
        <v>0</v>
      </c>
      <c r="J99" s="10">
        <f t="shared" si="52"/>
        <v>0</v>
      </c>
    </row>
    <row r="100" spans="1:10" x14ac:dyDescent="0.25">
      <c r="A100" s="49"/>
      <c r="B100" s="50"/>
      <c r="C100" s="49"/>
      <c r="D100" s="14" t="s">
        <v>7</v>
      </c>
      <c r="E100" s="16">
        <f t="shared" si="43"/>
        <v>1702575.3506499999</v>
      </c>
      <c r="F100" s="10">
        <f>ROUND(F30+F37+F44+F72+F79+F16+F23,5)</f>
        <v>0</v>
      </c>
      <c r="G100" s="10">
        <f t="shared" ref="G100:J100" si="54">ROUND(G30+G37+G44+G72+G79+G16+G23,5)</f>
        <v>256152.5068</v>
      </c>
      <c r="H100" s="10">
        <f t="shared" si="54"/>
        <v>240509.37140999999</v>
      </c>
      <c r="I100" s="10">
        <f t="shared" si="54"/>
        <v>241113.47244000001</v>
      </c>
      <c r="J100" s="10">
        <f t="shared" si="54"/>
        <v>964800</v>
      </c>
    </row>
    <row r="101" spans="1:10" x14ac:dyDescent="0.25">
      <c r="A101" s="56" t="s">
        <v>10</v>
      </c>
      <c r="B101" s="56"/>
      <c r="C101" s="56"/>
      <c r="D101" s="56"/>
      <c r="E101" s="56"/>
      <c r="F101" s="56"/>
      <c r="G101" s="56"/>
      <c r="H101" s="56"/>
      <c r="I101" s="56"/>
      <c r="J101" s="56"/>
    </row>
    <row r="102" spans="1:10" s="25" customFormat="1" x14ac:dyDescent="0.25">
      <c r="A102" s="51" t="s">
        <v>27</v>
      </c>
      <c r="B102" s="52" t="s">
        <v>85</v>
      </c>
      <c r="C102" s="51" t="s">
        <v>78</v>
      </c>
      <c r="D102" s="23" t="s">
        <v>3</v>
      </c>
      <c r="E102" s="18">
        <f t="shared" ref="E102:E136" si="55">ROUND(SUM(F102:J102),5)</f>
        <v>0</v>
      </c>
      <c r="F102" s="24">
        <f t="shared" ref="F102" si="56">ROUND(SUM(F103:F108),5)</f>
        <v>0</v>
      </c>
      <c r="G102" s="24">
        <f t="shared" ref="G102:I102" si="57">ROUND(SUM(G103:G108),5)</f>
        <v>0</v>
      </c>
      <c r="H102" s="24">
        <f t="shared" si="57"/>
        <v>0</v>
      </c>
      <c r="I102" s="24">
        <f t="shared" si="57"/>
        <v>0</v>
      </c>
      <c r="J102" s="24">
        <f t="shared" ref="J102" si="58">ROUND(SUM(J103:J108),5)</f>
        <v>0</v>
      </c>
    </row>
    <row r="103" spans="1:10" x14ac:dyDescent="0.25">
      <c r="A103" s="51"/>
      <c r="B103" s="52"/>
      <c r="C103" s="51"/>
      <c r="D103" s="26" t="s">
        <v>4</v>
      </c>
      <c r="E103" s="16">
        <f t="shared" si="55"/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</row>
    <row r="104" spans="1:10" ht="30.75" customHeight="1" x14ac:dyDescent="0.25">
      <c r="A104" s="51"/>
      <c r="B104" s="52"/>
      <c r="C104" s="51"/>
      <c r="D104" s="26" t="s">
        <v>5</v>
      </c>
      <c r="E104" s="16">
        <f t="shared" si="55"/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</row>
    <row r="105" spans="1:10" x14ac:dyDescent="0.25">
      <c r="A105" s="51"/>
      <c r="B105" s="52"/>
      <c r="C105" s="51"/>
      <c r="D105" s="26" t="s">
        <v>6</v>
      </c>
      <c r="E105" s="16">
        <f t="shared" si="55"/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</row>
    <row r="106" spans="1:10" ht="31.5" x14ac:dyDescent="0.25">
      <c r="A106" s="51"/>
      <c r="B106" s="52"/>
      <c r="C106" s="51"/>
      <c r="D106" s="26" t="s">
        <v>8</v>
      </c>
      <c r="E106" s="16">
        <f t="shared" si="55"/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</row>
    <row r="107" spans="1:10" x14ac:dyDescent="0.25">
      <c r="A107" s="51"/>
      <c r="B107" s="52"/>
      <c r="C107" s="51"/>
      <c r="D107" s="26" t="s">
        <v>18</v>
      </c>
      <c r="E107" s="16">
        <f t="shared" si="55"/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</row>
    <row r="108" spans="1:10" x14ac:dyDescent="0.25">
      <c r="A108" s="51"/>
      <c r="B108" s="52"/>
      <c r="C108" s="51"/>
      <c r="D108" s="26" t="s">
        <v>7</v>
      </c>
      <c r="E108" s="16">
        <f t="shared" si="55"/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</row>
    <row r="109" spans="1:10" s="25" customFormat="1" x14ac:dyDescent="0.25">
      <c r="A109" s="51" t="s">
        <v>28</v>
      </c>
      <c r="B109" s="52" t="s">
        <v>86</v>
      </c>
      <c r="C109" s="51" t="s">
        <v>78</v>
      </c>
      <c r="D109" s="23" t="s">
        <v>3</v>
      </c>
      <c r="E109" s="18">
        <f t="shared" si="55"/>
        <v>0</v>
      </c>
      <c r="F109" s="24">
        <f t="shared" ref="F109" si="59">ROUND(SUM(F110:F115),5)</f>
        <v>0</v>
      </c>
      <c r="G109" s="24">
        <f t="shared" ref="G109:I109" si="60">ROUND(SUM(G110:G115),5)</f>
        <v>0</v>
      </c>
      <c r="H109" s="24">
        <f t="shared" si="60"/>
        <v>0</v>
      </c>
      <c r="I109" s="24">
        <f t="shared" si="60"/>
        <v>0</v>
      </c>
      <c r="J109" s="24">
        <f t="shared" ref="J109" si="61">ROUND(SUM(J110:J115),5)</f>
        <v>0</v>
      </c>
    </row>
    <row r="110" spans="1:10" x14ac:dyDescent="0.25">
      <c r="A110" s="51"/>
      <c r="B110" s="52"/>
      <c r="C110" s="51"/>
      <c r="D110" s="26" t="s">
        <v>4</v>
      </c>
      <c r="E110" s="16">
        <f t="shared" si="55"/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</row>
    <row r="111" spans="1:10" ht="31.5" x14ac:dyDescent="0.25">
      <c r="A111" s="51"/>
      <c r="B111" s="52"/>
      <c r="C111" s="51"/>
      <c r="D111" s="26" t="s">
        <v>5</v>
      </c>
      <c r="E111" s="16">
        <f t="shared" si="55"/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</row>
    <row r="112" spans="1:10" x14ac:dyDescent="0.25">
      <c r="A112" s="51"/>
      <c r="B112" s="52"/>
      <c r="C112" s="51"/>
      <c r="D112" s="26" t="s">
        <v>6</v>
      </c>
      <c r="E112" s="16">
        <f t="shared" si="55"/>
        <v>0</v>
      </c>
      <c r="F112" s="31">
        <f>8218.36+13110.58045-21328.94045</f>
        <v>0</v>
      </c>
      <c r="G112" s="31">
        <f>8450.608-8450.608</f>
        <v>0</v>
      </c>
      <c r="H112" s="31">
        <f>8692.145-8692.145</f>
        <v>0</v>
      </c>
      <c r="I112" s="31">
        <f>8692.145-8692.145</f>
        <v>0</v>
      </c>
      <c r="J112" s="31">
        <f>4*8692.145-34768.58</f>
        <v>0</v>
      </c>
    </row>
    <row r="113" spans="1:10" ht="31.5" x14ac:dyDescent="0.25">
      <c r="A113" s="51"/>
      <c r="B113" s="52"/>
      <c r="C113" s="51"/>
      <c r="D113" s="26" t="s">
        <v>8</v>
      </c>
      <c r="E113" s="16">
        <f t="shared" si="55"/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</row>
    <row r="114" spans="1:10" x14ac:dyDescent="0.25">
      <c r="A114" s="51"/>
      <c r="B114" s="52"/>
      <c r="C114" s="51"/>
      <c r="D114" s="26" t="s">
        <v>18</v>
      </c>
      <c r="E114" s="16">
        <f t="shared" si="55"/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</row>
    <row r="115" spans="1:10" ht="18" customHeight="1" x14ac:dyDescent="0.25">
      <c r="A115" s="51"/>
      <c r="B115" s="52"/>
      <c r="C115" s="51"/>
      <c r="D115" s="26" t="s">
        <v>7</v>
      </c>
      <c r="E115" s="16">
        <f t="shared" si="55"/>
        <v>0</v>
      </c>
      <c r="F115" s="10">
        <f>3698.46907-3698.46907</f>
        <v>0</v>
      </c>
      <c r="G115" s="10">
        <v>0</v>
      </c>
      <c r="H115" s="10">
        <v>0</v>
      </c>
      <c r="I115" s="10">
        <v>0</v>
      </c>
      <c r="J115" s="10">
        <v>0</v>
      </c>
    </row>
    <row r="116" spans="1:10" s="25" customFormat="1" x14ac:dyDescent="0.25">
      <c r="A116" s="51" t="s">
        <v>35</v>
      </c>
      <c r="B116" s="52" t="s">
        <v>87</v>
      </c>
      <c r="C116" s="51" t="s">
        <v>78</v>
      </c>
      <c r="D116" s="23" t="s">
        <v>3</v>
      </c>
      <c r="E116" s="18">
        <f t="shared" si="55"/>
        <v>0</v>
      </c>
      <c r="F116" s="24">
        <f t="shared" ref="F116" si="62">ROUND(SUM(F117:F122),5)</f>
        <v>0</v>
      </c>
      <c r="G116" s="24">
        <f t="shared" ref="G116:I116" si="63">ROUND(SUM(G117:G122),5)</f>
        <v>0</v>
      </c>
      <c r="H116" s="24">
        <f t="shared" si="63"/>
        <v>0</v>
      </c>
      <c r="I116" s="24">
        <f t="shared" si="63"/>
        <v>0</v>
      </c>
      <c r="J116" s="24">
        <f t="shared" ref="J116" si="64">ROUND(SUM(J117:J122),5)</f>
        <v>0</v>
      </c>
    </row>
    <row r="117" spans="1:10" x14ac:dyDescent="0.25">
      <c r="A117" s="51"/>
      <c r="B117" s="52"/>
      <c r="C117" s="51"/>
      <c r="D117" s="26" t="s">
        <v>4</v>
      </c>
      <c r="E117" s="16">
        <f t="shared" si="55"/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</row>
    <row r="118" spans="1:10" ht="31.5" x14ac:dyDescent="0.25">
      <c r="A118" s="51"/>
      <c r="B118" s="52"/>
      <c r="C118" s="51"/>
      <c r="D118" s="26" t="s">
        <v>5</v>
      </c>
      <c r="E118" s="16">
        <f t="shared" si="55"/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</row>
    <row r="119" spans="1:10" x14ac:dyDescent="0.25">
      <c r="A119" s="51"/>
      <c r="B119" s="52"/>
      <c r="C119" s="51"/>
      <c r="D119" s="26" t="s">
        <v>6</v>
      </c>
      <c r="E119" s="16">
        <f t="shared" si="55"/>
        <v>0</v>
      </c>
      <c r="F119" s="31">
        <f>1898.43-1898.43</f>
        <v>0</v>
      </c>
      <c r="G119" s="31">
        <f>1898.43-1898.43</f>
        <v>0</v>
      </c>
      <c r="H119" s="31">
        <f>1898.43-1898.43</f>
        <v>0</v>
      </c>
      <c r="I119" s="31">
        <f>1898.43-1898.43</f>
        <v>0</v>
      </c>
      <c r="J119" s="31">
        <f>4*1898.43-7593.72</f>
        <v>0</v>
      </c>
    </row>
    <row r="120" spans="1:10" ht="27.75" customHeight="1" x14ac:dyDescent="0.25">
      <c r="A120" s="51"/>
      <c r="B120" s="52"/>
      <c r="C120" s="51"/>
      <c r="D120" s="26" t="s">
        <v>8</v>
      </c>
      <c r="E120" s="16">
        <f t="shared" si="55"/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</row>
    <row r="121" spans="1:10" x14ac:dyDescent="0.25">
      <c r="A121" s="51"/>
      <c r="B121" s="52"/>
      <c r="C121" s="51"/>
      <c r="D121" s="26" t="s">
        <v>18</v>
      </c>
      <c r="E121" s="16">
        <f t="shared" si="55"/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</row>
    <row r="122" spans="1:10" x14ac:dyDescent="0.25">
      <c r="A122" s="51"/>
      <c r="B122" s="52"/>
      <c r="C122" s="51"/>
      <c r="D122" s="26" t="s">
        <v>7</v>
      </c>
      <c r="E122" s="16">
        <f t="shared" si="55"/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</row>
    <row r="123" spans="1:10" x14ac:dyDescent="0.25">
      <c r="A123" s="51" t="s">
        <v>52</v>
      </c>
      <c r="B123" s="52" t="s">
        <v>88</v>
      </c>
      <c r="C123" s="51" t="s">
        <v>78</v>
      </c>
      <c r="D123" s="23" t="s">
        <v>3</v>
      </c>
      <c r="E123" s="18">
        <f t="shared" si="55"/>
        <v>0</v>
      </c>
      <c r="F123" s="24">
        <f t="shared" ref="F123" si="65">ROUND(SUM(F124:F129),5)</f>
        <v>0</v>
      </c>
      <c r="G123" s="24">
        <f t="shared" ref="G123:I123" si="66">ROUND(SUM(G124:G129),5)</f>
        <v>0</v>
      </c>
      <c r="H123" s="24">
        <f t="shared" si="66"/>
        <v>0</v>
      </c>
      <c r="I123" s="24">
        <f t="shared" si="66"/>
        <v>0</v>
      </c>
      <c r="J123" s="24">
        <f t="shared" ref="J123" si="67">ROUND(SUM(J124:J129),5)</f>
        <v>0</v>
      </c>
    </row>
    <row r="124" spans="1:10" x14ac:dyDescent="0.25">
      <c r="A124" s="51"/>
      <c r="B124" s="52"/>
      <c r="C124" s="51"/>
      <c r="D124" s="26" t="s">
        <v>4</v>
      </c>
      <c r="E124" s="16">
        <f t="shared" si="55"/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</row>
    <row r="125" spans="1:10" ht="31.5" x14ac:dyDescent="0.25">
      <c r="A125" s="51"/>
      <c r="B125" s="52"/>
      <c r="C125" s="51"/>
      <c r="D125" s="26" t="s">
        <v>5</v>
      </c>
      <c r="E125" s="16">
        <f t="shared" si="55"/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</row>
    <row r="126" spans="1:10" x14ac:dyDescent="0.25">
      <c r="A126" s="51"/>
      <c r="B126" s="52"/>
      <c r="C126" s="51"/>
      <c r="D126" s="26" t="s">
        <v>6</v>
      </c>
      <c r="E126" s="16">
        <f t="shared" si="55"/>
        <v>0</v>
      </c>
      <c r="F126" s="31">
        <f>17347.965-17347.965</f>
        <v>0</v>
      </c>
      <c r="G126" s="31">
        <f>10675.965-10675.965</f>
        <v>0</v>
      </c>
      <c r="H126" s="31">
        <f>10675.965-10675.965</f>
        <v>0</v>
      </c>
      <c r="I126" s="31">
        <f>11000-11000</f>
        <v>0</v>
      </c>
      <c r="J126" s="31">
        <f>4*11000-44000</f>
        <v>0</v>
      </c>
    </row>
    <row r="127" spans="1:10" ht="31.5" x14ac:dyDescent="0.25">
      <c r="A127" s="51"/>
      <c r="B127" s="52"/>
      <c r="C127" s="51"/>
      <c r="D127" s="26" t="s">
        <v>8</v>
      </c>
      <c r="E127" s="16">
        <f t="shared" si="55"/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</row>
    <row r="128" spans="1:10" x14ac:dyDescent="0.25">
      <c r="A128" s="51"/>
      <c r="B128" s="52"/>
      <c r="C128" s="51"/>
      <c r="D128" s="26" t="s">
        <v>18</v>
      </c>
      <c r="E128" s="16">
        <f t="shared" si="55"/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</row>
    <row r="129" spans="1:10" ht="27.75" customHeight="1" x14ac:dyDescent="0.25">
      <c r="A129" s="51"/>
      <c r="B129" s="52"/>
      <c r="C129" s="51"/>
      <c r="D129" s="26" t="s">
        <v>7</v>
      </c>
      <c r="E129" s="16">
        <f t="shared" si="55"/>
        <v>0</v>
      </c>
      <c r="F129" s="15">
        <f>4004.38828-4004.38828</f>
        <v>0</v>
      </c>
      <c r="G129" s="15">
        <f>10676.38828-10676.38828</f>
        <v>0</v>
      </c>
      <c r="H129" s="15">
        <f>10676.38828-10676.38828</f>
        <v>0</v>
      </c>
      <c r="I129" s="15">
        <f>11000-11000</f>
        <v>0</v>
      </c>
      <c r="J129" s="15">
        <f>11000*4-44000</f>
        <v>0</v>
      </c>
    </row>
    <row r="130" spans="1:10" s="25" customFormat="1" x14ac:dyDescent="0.25">
      <c r="A130" s="51"/>
      <c r="B130" s="52" t="s">
        <v>11</v>
      </c>
      <c r="C130" s="51"/>
      <c r="D130" s="23" t="s">
        <v>3</v>
      </c>
      <c r="E130" s="18">
        <f t="shared" si="55"/>
        <v>0</v>
      </c>
      <c r="F130" s="24">
        <f t="shared" ref="F130" si="68">ROUND(SUM(F131:F136),5)</f>
        <v>0</v>
      </c>
      <c r="G130" s="24">
        <f t="shared" ref="G130:I130" si="69">ROUND(SUM(G131:G136),5)</f>
        <v>0</v>
      </c>
      <c r="H130" s="24">
        <f t="shared" si="69"/>
        <v>0</v>
      </c>
      <c r="I130" s="24">
        <f t="shared" si="69"/>
        <v>0</v>
      </c>
      <c r="J130" s="24">
        <f t="shared" ref="J130" si="70">ROUND(SUM(J131:J136),5)</f>
        <v>0</v>
      </c>
    </row>
    <row r="131" spans="1:10" x14ac:dyDescent="0.25">
      <c r="A131" s="51"/>
      <c r="B131" s="52"/>
      <c r="C131" s="51"/>
      <c r="D131" s="26" t="s">
        <v>4</v>
      </c>
      <c r="E131" s="16">
        <f t="shared" si="55"/>
        <v>0</v>
      </c>
      <c r="F131" s="16">
        <f t="shared" ref="F131:J131" si="71">ROUND(F110+F117+F124+F103,5)</f>
        <v>0</v>
      </c>
      <c r="G131" s="16">
        <f t="shared" si="71"/>
        <v>0</v>
      </c>
      <c r="H131" s="16">
        <f t="shared" ref="H131:I131" si="72">ROUND(H110+H117+H124+H103,5)</f>
        <v>0</v>
      </c>
      <c r="I131" s="16">
        <f t="shared" si="72"/>
        <v>0</v>
      </c>
      <c r="J131" s="16">
        <f t="shared" si="71"/>
        <v>0</v>
      </c>
    </row>
    <row r="132" spans="1:10" ht="31.5" x14ac:dyDescent="0.25">
      <c r="A132" s="51"/>
      <c r="B132" s="52"/>
      <c r="C132" s="51"/>
      <c r="D132" s="26" t="s">
        <v>5</v>
      </c>
      <c r="E132" s="16">
        <f t="shared" si="55"/>
        <v>0</v>
      </c>
      <c r="F132" s="16">
        <f t="shared" ref="F132:J132" si="73">ROUND(F111+F118+F125+F104,5)</f>
        <v>0</v>
      </c>
      <c r="G132" s="16">
        <f t="shared" si="73"/>
        <v>0</v>
      </c>
      <c r="H132" s="16">
        <f t="shared" ref="H132:I132" si="74">ROUND(H111+H118+H125+H104,5)</f>
        <v>0</v>
      </c>
      <c r="I132" s="16">
        <f t="shared" si="74"/>
        <v>0</v>
      </c>
      <c r="J132" s="16">
        <f t="shared" si="73"/>
        <v>0</v>
      </c>
    </row>
    <row r="133" spans="1:10" x14ac:dyDescent="0.25">
      <c r="A133" s="51"/>
      <c r="B133" s="52"/>
      <c r="C133" s="51"/>
      <c r="D133" s="26" t="s">
        <v>6</v>
      </c>
      <c r="E133" s="16">
        <f t="shared" si="55"/>
        <v>0</v>
      </c>
      <c r="F133" s="16">
        <f t="shared" ref="F133:J133" si="75">ROUND(F112+F119+F126+F105,5)</f>
        <v>0</v>
      </c>
      <c r="G133" s="16">
        <f t="shared" si="75"/>
        <v>0</v>
      </c>
      <c r="H133" s="16">
        <f t="shared" ref="H133:I133" si="76">ROUND(H112+H119+H126+H105,5)</f>
        <v>0</v>
      </c>
      <c r="I133" s="16">
        <f t="shared" si="76"/>
        <v>0</v>
      </c>
      <c r="J133" s="16">
        <f t="shared" si="75"/>
        <v>0</v>
      </c>
    </row>
    <row r="134" spans="1:10" ht="31.5" x14ac:dyDescent="0.25">
      <c r="A134" s="51"/>
      <c r="B134" s="52"/>
      <c r="C134" s="51"/>
      <c r="D134" s="26" t="s">
        <v>8</v>
      </c>
      <c r="E134" s="16">
        <f t="shared" si="55"/>
        <v>0</v>
      </c>
      <c r="F134" s="16">
        <f t="shared" ref="F134:J134" si="77">ROUND(F113+F120+F127+F106,5)</f>
        <v>0</v>
      </c>
      <c r="G134" s="16">
        <f t="shared" si="77"/>
        <v>0</v>
      </c>
      <c r="H134" s="16">
        <f t="shared" ref="H134:I134" si="78">ROUND(H113+H120+H127+H106,5)</f>
        <v>0</v>
      </c>
      <c r="I134" s="16">
        <f t="shared" si="78"/>
        <v>0</v>
      </c>
      <c r="J134" s="16">
        <f t="shared" si="77"/>
        <v>0</v>
      </c>
    </row>
    <row r="135" spans="1:10" x14ac:dyDescent="0.25">
      <c r="A135" s="51"/>
      <c r="B135" s="52"/>
      <c r="C135" s="51"/>
      <c r="D135" s="26" t="s">
        <v>18</v>
      </c>
      <c r="E135" s="16">
        <f t="shared" si="55"/>
        <v>0</v>
      </c>
      <c r="F135" s="16">
        <f t="shared" ref="F135:J135" si="79">ROUND(F114+F121+F128+F107,5)</f>
        <v>0</v>
      </c>
      <c r="G135" s="16">
        <f t="shared" si="79"/>
        <v>0</v>
      </c>
      <c r="H135" s="16">
        <f t="shared" ref="H135:I135" si="80">ROUND(H114+H121+H128+H107,5)</f>
        <v>0</v>
      </c>
      <c r="I135" s="16">
        <f t="shared" si="80"/>
        <v>0</v>
      </c>
      <c r="J135" s="16">
        <f t="shared" si="79"/>
        <v>0</v>
      </c>
    </row>
    <row r="136" spans="1:10" x14ac:dyDescent="0.25">
      <c r="A136" s="51"/>
      <c r="B136" s="52"/>
      <c r="C136" s="51"/>
      <c r="D136" s="26" t="s">
        <v>7</v>
      </c>
      <c r="E136" s="16">
        <f t="shared" si="55"/>
        <v>0</v>
      </c>
      <c r="F136" s="16">
        <f t="shared" ref="F136:J136" si="81">ROUND(F115+F122+F129+F108,5)</f>
        <v>0</v>
      </c>
      <c r="G136" s="16">
        <f t="shared" si="81"/>
        <v>0</v>
      </c>
      <c r="H136" s="16">
        <f t="shared" ref="H136:I136" si="82">ROUND(H115+H122+H129+H108,5)</f>
        <v>0</v>
      </c>
      <c r="I136" s="16">
        <f t="shared" si="82"/>
        <v>0</v>
      </c>
      <c r="J136" s="16">
        <f t="shared" si="81"/>
        <v>0</v>
      </c>
    </row>
    <row r="137" spans="1:10" x14ac:dyDescent="0.25">
      <c r="A137" s="57" t="s">
        <v>33</v>
      </c>
      <c r="B137" s="57"/>
      <c r="C137" s="57"/>
      <c r="D137" s="57"/>
      <c r="E137" s="57"/>
      <c r="F137" s="57"/>
      <c r="G137" s="57"/>
      <c r="H137" s="57"/>
      <c r="I137" s="57"/>
      <c r="J137" s="57"/>
    </row>
    <row r="138" spans="1:10" s="25" customFormat="1" x14ac:dyDescent="0.25">
      <c r="A138" s="51" t="s">
        <v>29</v>
      </c>
      <c r="B138" s="52" t="s">
        <v>59</v>
      </c>
      <c r="C138" s="51" t="s">
        <v>45</v>
      </c>
      <c r="D138" s="23" t="s">
        <v>3</v>
      </c>
      <c r="E138" s="18">
        <f>ROUND(SUM(F138:J138),5)</f>
        <v>0</v>
      </c>
      <c r="F138" s="18">
        <f>ROUND(SUM(F139:F144),5)</f>
        <v>0</v>
      </c>
      <c r="G138" s="18">
        <f>ROUND(SUM(G139:G144),5)</f>
        <v>0</v>
      </c>
      <c r="H138" s="18">
        <f>ROUND(SUM(H139:H144),5)</f>
        <v>0</v>
      </c>
      <c r="I138" s="18">
        <f>ROUND(SUM(I139:I144),5)</f>
        <v>0</v>
      </c>
      <c r="J138" s="18">
        <f>ROUND(SUM(J139:J144),5)</f>
        <v>0</v>
      </c>
    </row>
    <row r="139" spans="1:10" x14ac:dyDescent="0.25">
      <c r="A139" s="51"/>
      <c r="B139" s="52"/>
      <c r="C139" s="51"/>
      <c r="D139" s="26" t="s">
        <v>4</v>
      </c>
      <c r="E139" s="16">
        <f t="shared" ref="E139:E144" si="83">SUM(F139:J139)</f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</row>
    <row r="140" spans="1:10" ht="31.5" x14ac:dyDescent="0.25">
      <c r="A140" s="51"/>
      <c r="B140" s="52"/>
      <c r="C140" s="51"/>
      <c r="D140" s="26" t="s">
        <v>5</v>
      </c>
      <c r="E140" s="16">
        <f t="shared" si="83"/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</row>
    <row r="141" spans="1:10" x14ac:dyDescent="0.25">
      <c r="A141" s="51"/>
      <c r="B141" s="52"/>
      <c r="C141" s="51"/>
      <c r="D141" s="26" t="s">
        <v>6</v>
      </c>
      <c r="E141" s="16">
        <f t="shared" si="83"/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</row>
    <row r="142" spans="1:10" ht="31.5" x14ac:dyDescent="0.25">
      <c r="A142" s="51"/>
      <c r="B142" s="52"/>
      <c r="C142" s="51"/>
      <c r="D142" s="26" t="s">
        <v>8</v>
      </c>
      <c r="E142" s="16">
        <f t="shared" si="83"/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</row>
    <row r="143" spans="1:10" x14ac:dyDescent="0.25">
      <c r="A143" s="51"/>
      <c r="B143" s="52"/>
      <c r="C143" s="51"/>
      <c r="D143" s="26" t="s">
        <v>18</v>
      </c>
      <c r="E143" s="16">
        <f t="shared" si="83"/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</row>
    <row r="144" spans="1:10" x14ac:dyDescent="0.25">
      <c r="A144" s="51"/>
      <c r="B144" s="52"/>
      <c r="C144" s="51"/>
      <c r="D144" s="26" t="s">
        <v>7</v>
      </c>
      <c r="E144" s="16">
        <f t="shared" si="83"/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</row>
    <row r="145" spans="1:10" s="25" customFormat="1" x14ac:dyDescent="0.25">
      <c r="A145" s="51" t="s">
        <v>30</v>
      </c>
      <c r="B145" s="52" t="s">
        <v>92</v>
      </c>
      <c r="C145" s="51" t="s">
        <v>64</v>
      </c>
      <c r="D145" s="23" t="s">
        <v>3</v>
      </c>
      <c r="E145" s="18">
        <f t="shared" ref="E145:E159" si="84">ROUND(SUM(F145:J145),5)</f>
        <v>0</v>
      </c>
      <c r="F145" s="18">
        <f t="shared" ref="F145:J145" si="85">ROUND(SUM(F146:F151),5)</f>
        <v>0</v>
      </c>
      <c r="G145" s="18">
        <f t="shared" si="85"/>
        <v>0</v>
      </c>
      <c r="H145" s="18">
        <f t="shared" ref="H145:I145" si="86">ROUND(SUM(H146:H151),5)</f>
        <v>0</v>
      </c>
      <c r="I145" s="18">
        <f t="shared" si="86"/>
        <v>0</v>
      </c>
      <c r="J145" s="18">
        <f t="shared" si="85"/>
        <v>0</v>
      </c>
    </row>
    <row r="146" spans="1:10" x14ac:dyDescent="0.25">
      <c r="A146" s="51"/>
      <c r="B146" s="52"/>
      <c r="C146" s="51"/>
      <c r="D146" s="26" t="s">
        <v>4</v>
      </c>
      <c r="E146" s="16">
        <f t="shared" si="84"/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</row>
    <row r="147" spans="1:10" ht="31.5" x14ac:dyDescent="0.25">
      <c r="A147" s="51"/>
      <c r="B147" s="52"/>
      <c r="C147" s="51"/>
      <c r="D147" s="26" t="s">
        <v>5</v>
      </c>
      <c r="E147" s="16">
        <f t="shared" si="84"/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</row>
    <row r="148" spans="1:10" x14ac:dyDescent="0.25">
      <c r="A148" s="51"/>
      <c r="B148" s="52"/>
      <c r="C148" s="51"/>
      <c r="D148" s="26" t="s">
        <v>6</v>
      </c>
      <c r="E148" s="16">
        <f t="shared" si="84"/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</row>
    <row r="149" spans="1:10" ht="31.5" x14ac:dyDescent="0.25">
      <c r="A149" s="51"/>
      <c r="B149" s="52"/>
      <c r="C149" s="51"/>
      <c r="D149" s="26" t="s">
        <v>8</v>
      </c>
      <c r="E149" s="16">
        <f t="shared" si="84"/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</row>
    <row r="150" spans="1:10" x14ac:dyDescent="0.25">
      <c r="A150" s="51"/>
      <c r="B150" s="52"/>
      <c r="C150" s="51"/>
      <c r="D150" s="26" t="s">
        <v>18</v>
      </c>
      <c r="E150" s="16">
        <f t="shared" si="84"/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</row>
    <row r="151" spans="1:10" x14ac:dyDescent="0.25">
      <c r="A151" s="51"/>
      <c r="B151" s="52"/>
      <c r="C151" s="51"/>
      <c r="D151" s="26" t="s">
        <v>7</v>
      </c>
      <c r="E151" s="16">
        <f t="shared" si="84"/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</row>
    <row r="152" spans="1:10" s="25" customFormat="1" x14ac:dyDescent="0.25">
      <c r="A152" s="51" t="s">
        <v>31</v>
      </c>
      <c r="B152" s="52" t="s">
        <v>63</v>
      </c>
      <c r="C152" s="51" t="s">
        <v>79</v>
      </c>
      <c r="D152" s="23" t="s">
        <v>3</v>
      </c>
      <c r="E152" s="18">
        <f t="shared" si="84"/>
        <v>0</v>
      </c>
      <c r="F152" s="18">
        <f t="shared" ref="F152:J152" si="87">ROUND(SUM(F153:F158),5)</f>
        <v>0</v>
      </c>
      <c r="G152" s="18">
        <f t="shared" si="87"/>
        <v>0</v>
      </c>
      <c r="H152" s="18">
        <f t="shared" ref="H152:I152" si="88">ROUND(SUM(H153:H158),5)</f>
        <v>0</v>
      </c>
      <c r="I152" s="18">
        <f t="shared" si="88"/>
        <v>0</v>
      </c>
      <c r="J152" s="18">
        <f t="shared" si="87"/>
        <v>0</v>
      </c>
    </row>
    <row r="153" spans="1:10" x14ac:dyDescent="0.25">
      <c r="A153" s="51"/>
      <c r="B153" s="52"/>
      <c r="C153" s="51"/>
      <c r="D153" s="26" t="s">
        <v>4</v>
      </c>
      <c r="E153" s="16">
        <f t="shared" si="84"/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</row>
    <row r="154" spans="1:10" ht="31.5" x14ac:dyDescent="0.25">
      <c r="A154" s="51"/>
      <c r="B154" s="52"/>
      <c r="C154" s="51"/>
      <c r="D154" s="26" t="s">
        <v>5</v>
      </c>
      <c r="E154" s="16">
        <f t="shared" si="84"/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</row>
    <row r="155" spans="1:10" x14ac:dyDescent="0.25">
      <c r="A155" s="51"/>
      <c r="B155" s="52"/>
      <c r="C155" s="51"/>
      <c r="D155" s="26" t="s">
        <v>6</v>
      </c>
      <c r="E155" s="16">
        <f t="shared" si="84"/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</row>
    <row r="156" spans="1:10" ht="31.5" x14ac:dyDescent="0.25">
      <c r="A156" s="51"/>
      <c r="B156" s="52"/>
      <c r="C156" s="51"/>
      <c r="D156" s="26" t="s">
        <v>8</v>
      </c>
      <c r="E156" s="16">
        <f t="shared" si="84"/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</row>
    <row r="157" spans="1:10" x14ac:dyDescent="0.25">
      <c r="A157" s="51"/>
      <c r="B157" s="52"/>
      <c r="C157" s="51"/>
      <c r="D157" s="26" t="s">
        <v>18</v>
      </c>
      <c r="E157" s="16">
        <f t="shared" si="84"/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</row>
    <row r="158" spans="1:10" x14ac:dyDescent="0.25">
      <c r="A158" s="51"/>
      <c r="B158" s="52"/>
      <c r="C158" s="51"/>
      <c r="D158" s="26" t="s">
        <v>7</v>
      </c>
      <c r="E158" s="16">
        <f t="shared" si="84"/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</row>
    <row r="159" spans="1:10" s="25" customFormat="1" x14ac:dyDescent="0.25">
      <c r="A159" s="51" t="s">
        <v>40</v>
      </c>
      <c r="B159" s="52" t="s">
        <v>60</v>
      </c>
      <c r="C159" s="51" t="s">
        <v>78</v>
      </c>
      <c r="D159" s="23" t="s">
        <v>3</v>
      </c>
      <c r="E159" s="18">
        <f t="shared" si="84"/>
        <v>94974.868830000007</v>
      </c>
      <c r="F159" s="18">
        <f>ROUND(SUM(F160:F165),5)</f>
        <v>19952.17383</v>
      </c>
      <c r="G159" s="18">
        <f>ROUND(SUM(G160:G165),5)</f>
        <v>21773.588</v>
      </c>
      <c r="H159" s="18">
        <f>ROUND(SUM(H160:H165),5)</f>
        <v>9213.8960000000006</v>
      </c>
      <c r="I159" s="18">
        <f>ROUND(SUM(I160:I165),5)</f>
        <v>4035.2109999999998</v>
      </c>
      <c r="J159" s="18">
        <f>ROUND(SUM(J160:J165),5)</f>
        <v>40000</v>
      </c>
    </row>
    <row r="160" spans="1:10" x14ac:dyDescent="0.25">
      <c r="A160" s="51"/>
      <c r="B160" s="52"/>
      <c r="C160" s="51"/>
      <c r="D160" s="26" t="s">
        <v>4</v>
      </c>
      <c r="E160" s="16">
        <f t="shared" ref="E160:E165" si="89">SUM(F160:J160)</f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</row>
    <row r="161" spans="1:10" ht="31.5" x14ac:dyDescent="0.25">
      <c r="A161" s="51"/>
      <c r="B161" s="52"/>
      <c r="C161" s="51"/>
      <c r="D161" s="26" t="s">
        <v>5</v>
      </c>
      <c r="E161" s="16">
        <f t="shared" si="89"/>
        <v>500</v>
      </c>
      <c r="F161" s="16">
        <v>500</v>
      </c>
      <c r="G161" s="16">
        <v>0</v>
      </c>
      <c r="H161" s="16">
        <v>0</v>
      </c>
      <c r="I161" s="16">
        <v>0</v>
      </c>
      <c r="J161" s="16">
        <v>0</v>
      </c>
    </row>
    <row r="162" spans="1:10" x14ac:dyDescent="0.25">
      <c r="A162" s="51"/>
      <c r="B162" s="52"/>
      <c r="C162" s="51"/>
      <c r="D162" s="26" t="s">
        <v>6</v>
      </c>
      <c r="E162" s="16">
        <f t="shared" si="89"/>
        <v>71717.439509999997</v>
      </c>
      <c r="F162" s="16">
        <f>7679.769-400-1596.268+600-408.98349-0.018-35</f>
        <v>5839.4995100000006</v>
      </c>
      <c r="G162" s="16">
        <v>12628.833000000001</v>
      </c>
      <c r="H162" s="16">
        <v>9213.8960000000006</v>
      </c>
      <c r="I162" s="16">
        <v>4035.2109999999998</v>
      </c>
      <c r="J162" s="16">
        <f>10000*4</f>
        <v>40000</v>
      </c>
    </row>
    <row r="163" spans="1:10" ht="31.5" x14ac:dyDescent="0.25">
      <c r="A163" s="51"/>
      <c r="B163" s="52"/>
      <c r="C163" s="51"/>
      <c r="D163" s="26" t="s">
        <v>8</v>
      </c>
      <c r="E163" s="16">
        <f t="shared" si="89"/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</row>
    <row r="164" spans="1:10" x14ac:dyDescent="0.25">
      <c r="A164" s="51"/>
      <c r="B164" s="52"/>
      <c r="C164" s="51"/>
      <c r="D164" s="26" t="s">
        <v>18</v>
      </c>
      <c r="E164" s="16">
        <f t="shared" si="89"/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</row>
    <row r="165" spans="1:10" x14ac:dyDescent="0.25">
      <c r="A165" s="51"/>
      <c r="B165" s="52"/>
      <c r="C165" s="51"/>
      <c r="D165" s="26" t="s">
        <v>7</v>
      </c>
      <c r="E165" s="16">
        <f t="shared" si="89"/>
        <v>22757.429319999996</v>
      </c>
      <c r="F165" s="16">
        <f>7350+13612.67432-7350</f>
        <v>13612.674319999998</v>
      </c>
      <c r="G165" s="16">
        <v>9144.7549999999992</v>
      </c>
      <c r="H165" s="16">
        <v>0</v>
      </c>
      <c r="I165" s="16">
        <v>0</v>
      </c>
      <c r="J165" s="16">
        <f>H165*5</f>
        <v>0</v>
      </c>
    </row>
    <row r="166" spans="1:10" ht="12" customHeight="1" x14ac:dyDescent="0.25">
      <c r="A166" s="51" t="s">
        <v>41</v>
      </c>
      <c r="B166" s="52" t="s">
        <v>94</v>
      </c>
      <c r="C166" s="51" t="s">
        <v>69</v>
      </c>
      <c r="D166" s="23" t="s">
        <v>3</v>
      </c>
      <c r="E166" s="18">
        <f t="shared" ref="E166:E193" si="90">ROUND(SUM(F166:J166),5)</f>
        <v>2141498.2000000002</v>
      </c>
      <c r="F166" s="18">
        <f>ROUND(SUM(F167:F172),5)</f>
        <v>0</v>
      </c>
      <c r="G166" s="18">
        <f>ROUND(SUM(G167:G172),5)</f>
        <v>0</v>
      </c>
      <c r="H166" s="18">
        <f>ROUND(SUM(H167:H172),5)</f>
        <v>0</v>
      </c>
      <c r="I166" s="18">
        <f>ROUND(SUM(I167:I172),5)</f>
        <v>0</v>
      </c>
      <c r="J166" s="18">
        <f>ROUND(SUM(J167:J172),5)</f>
        <v>2141498.2000000002</v>
      </c>
    </row>
    <row r="167" spans="1:10" x14ac:dyDescent="0.25">
      <c r="A167" s="51"/>
      <c r="B167" s="52"/>
      <c r="C167" s="51"/>
      <c r="D167" s="26" t="s">
        <v>4</v>
      </c>
      <c r="E167" s="16">
        <f t="shared" si="90"/>
        <v>0</v>
      </c>
      <c r="F167" s="16">
        <f t="shared" ref="F167:J167" si="91">ROUND(F174+F181,5)</f>
        <v>0</v>
      </c>
      <c r="G167" s="16">
        <f>ROUND(G174+G181,5)</f>
        <v>0</v>
      </c>
      <c r="H167" s="16">
        <f t="shared" ref="H167:J172" si="92">ROUND(H174+H181,5)</f>
        <v>0</v>
      </c>
      <c r="I167" s="16">
        <f t="shared" si="92"/>
        <v>0</v>
      </c>
      <c r="J167" s="16">
        <f t="shared" si="91"/>
        <v>0</v>
      </c>
    </row>
    <row r="168" spans="1:10" ht="29.25" customHeight="1" x14ac:dyDescent="0.25">
      <c r="A168" s="51"/>
      <c r="B168" s="52"/>
      <c r="C168" s="51"/>
      <c r="D168" s="26" t="s">
        <v>5</v>
      </c>
      <c r="E168" s="16">
        <f t="shared" si="90"/>
        <v>0</v>
      </c>
      <c r="F168" s="16">
        <f t="shared" ref="F168:G168" si="93">ROUND(F175+F182,5)</f>
        <v>0</v>
      </c>
      <c r="G168" s="16">
        <f t="shared" si="93"/>
        <v>0</v>
      </c>
      <c r="H168" s="16">
        <f t="shared" si="92"/>
        <v>0</v>
      </c>
      <c r="I168" s="16">
        <f t="shared" si="92"/>
        <v>0</v>
      </c>
      <c r="J168" s="16">
        <f t="shared" si="92"/>
        <v>0</v>
      </c>
    </row>
    <row r="169" spans="1:10" x14ac:dyDescent="0.25">
      <c r="A169" s="51"/>
      <c r="B169" s="52"/>
      <c r="C169" s="51"/>
      <c r="D169" s="26" t="s">
        <v>6</v>
      </c>
      <c r="E169" s="16">
        <f t="shared" si="90"/>
        <v>214149.8</v>
      </c>
      <c r="F169" s="16">
        <f t="shared" ref="F169:G169" si="94">ROUND(F176+F183,5)</f>
        <v>0</v>
      </c>
      <c r="G169" s="16">
        <f t="shared" si="94"/>
        <v>0</v>
      </c>
      <c r="H169" s="16">
        <f t="shared" si="92"/>
        <v>0</v>
      </c>
      <c r="I169" s="16">
        <f t="shared" si="92"/>
        <v>0</v>
      </c>
      <c r="J169" s="16">
        <f t="shared" si="92"/>
        <v>214149.8</v>
      </c>
    </row>
    <row r="170" spans="1:10" ht="31.5" x14ac:dyDescent="0.25">
      <c r="A170" s="51"/>
      <c r="B170" s="52"/>
      <c r="C170" s="51"/>
      <c r="D170" s="26" t="s">
        <v>8</v>
      </c>
      <c r="E170" s="16">
        <f t="shared" si="90"/>
        <v>0</v>
      </c>
      <c r="F170" s="16">
        <f t="shared" ref="F170:G170" si="95">ROUND(F177+F184,5)</f>
        <v>0</v>
      </c>
      <c r="G170" s="16">
        <f t="shared" si="95"/>
        <v>0</v>
      </c>
      <c r="H170" s="16">
        <f t="shared" si="92"/>
        <v>0</v>
      </c>
      <c r="I170" s="16">
        <f t="shared" si="92"/>
        <v>0</v>
      </c>
      <c r="J170" s="16">
        <f t="shared" si="92"/>
        <v>0</v>
      </c>
    </row>
    <row r="171" spans="1:10" x14ac:dyDescent="0.25">
      <c r="A171" s="51"/>
      <c r="B171" s="52"/>
      <c r="C171" s="51"/>
      <c r="D171" s="26" t="s">
        <v>18</v>
      </c>
      <c r="E171" s="16">
        <f t="shared" si="90"/>
        <v>0</v>
      </c>
      <c r="F171" s="16">
        <f t="shared" ref="F171:G171" si="96">ROUND(F178+F185,5)</f>
        <v>0</v>
      </c>
      <c r="G171" s="16">
        <f t="shared" si="96"/>
        <v>0</v>
      </c>
      <c r="H171" s="16">
        <f t="shared" si="92"/>
        <v>0</v>
      </c>
      <c r="I171" s="16">
        <f t="shared" si="92"/>
        <v>0</v>
      </c>
      <c r="J171" s="16">
        <f t="shared" si="92"/>
        <v>0</v>
      </c>
    </row>
    <row r="172" spans="1:10" ht="33" customHeight="1" x14ac:dyDescent="0.25">
      <c r="A172" s="51"/>
      <c r="B172" s="52"/>
      <c r="C172" s="51"/>
      <c r="D172" s="26" t="s">
        <v>7</v>
      </c>
      <c r="E172" s="16">
        <f t="shared" si="90"/>
        <v>1927348.4</v>
      </c>
      <c r="F172" s="16">
        <f t="shared" ref="F172:G172" si="97">ROUND(F179+F186,5)</f>
        <v>0</v>
      </c>
      <c r="G172" s="16">
        <f t="shared" si="97"/>
        <v>0</v>
      </c>
      <c r="H172" s="16">
        <f t="shared" si="92"/>
        <v>0</v>
      </c>
      <c r="I172" s="16">
        <f t="shared" si="92"/>
        <v>0</v>
      </c>
      <c r="J172" s="16">
        <f t="shared" si="92"/>
        <v>1927348.4</v>
      </c>
    </row>
    <row r="173" spans="1:10" s="25" customFormat="1" ht="12" customHeight="1" x14ac:dyDescent="0.25">
      <c r="A173" s="51"/>
      <c r="B173" s="52"/>
      <c r="C173" s="51" t="s">
        <v>64</v>
      </c>
      <c r="D173" s="23" t="s">
        <v>3</v>
      </c>
      <c r="E173" s="18">
        <f t="shared" si="90"/>
        <v>2141498.2000000002</v>
      </c>
      <c r="F173" s="18">
        <f t="shared" ref="F173:J173" si="98">ROUND(SUM(F174:F179),5)</f>
        <v>0</v>
      </c>
      <c r="G173" s="18">
        <f t="shared" si="98"/>
        <v>0</v>
      </c>
      <c r="H173" s="18">
        <f t="shared" ref="H173:I173" si="99">ROUND(SUM(H174:H179),5)</f>
        <v>0</v>
      </c>
      <c r="I173" s="18">
        <f t="shared" si="99"/>
        <v>0</v>
      </c>
      <c r="J173" s="18">
        <f t="shared" si="98"/>
        <v>2141498.2000000002</v>
      </c>
    </row>
    <row r="174" spans="1:10" x14ac:dyDescent="0.25">
      <c r="A174" s="51"/>
      <c r="B174" s="52"/>
      <c r="C174" s="51"/>
      <c r="D174" s="26" t="s">
        <v>4</v>
      </c>
      <c r="E174" s="16">
        <f t="shared" si="90"/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</row>
    <row r="175" spans="1:10" ht="29.25" customHeight="1" x14ac:dyDescent="0.25">
      <c r="A175" s="51"/>
      <c r="B175" s="52"/>
      <c r="C175" s="51"/>
      <c r="D175" s="26" t="s">
        <v>5</v>
      </c>
      <c r="E175" s="16">
        <f t="shared" si="90"/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</row>
    <row r="176" spans="1:10" x14ac:dyDescent="0.25">
      <c r="A176" s="51"/>
      <c r="B176" s="52"/>
      <c r="C176" s="51"/>
      <c r="D176" s="26" t="s">
        <v>6</v>
      </c>
      <c r="E176" s="16">
        <f t="shared" si="90"/>
        <v>214149.8</v>
      </c>
      <c r="F176" s="16">
        <f>50651.5-22064.7-28586.8</f>
        <v>0</v>
      </c>
      <c r="G176" s="16">
        <v>0</v>
      </c>
      <c r="H176" s="16">
        <v>0</v>
      </c>
      <c r="I176" s="16">
        <v>0</v>
      </c>
      <c r="J176" s="16">
        <f>127567.4+1537.5+85044.9</f>
        <v>214149.8</v>
      </c>
    </row>
    <row r="177" spans="1:10" ht="29.25" customHeight="1" x14ac:dyDescent="0.25">
      <c r="A177" s="51"/>
      <c r="B177" s="52"/>
      <c r="C177" s="51"/>
      <c r="D177" s="26" t="s">
        <v>8</v>
      </c>
      <c r="E177" s="16">
        <f t="shared" si="90"/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</row>
    <row r="178" spans="1:10" x14ac:dyDescent="0.25">
      <c r="A178" s="51"/>
      <c r="B178" s="52"/>
      <c r="C178" s="51"/>
      <c r="D178" s="26" t="s">
        <v>18</v>
      </c>
      <c r="E178" s="16">
        <f t="shared" si="90"/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</row>
    <row r="179" spans="1:10" x14ac:dyDescent="0.25">
      <c r="A179" s="51"/>
      <c r="B179" s="52"/>
      <c r="C179" s="51"/>
      <c r="D179" s="26" t="s">
        <v>7</v>
      </c>
      <c r="E179" s="16">
        <f t="shared" si="90"/>
        <v>1927348.4</v>
      </c>
      <c r="F179" s="16">
        <v>0</v>
      </c>
      <c r="G179" s="16">
        <v>0</v>
      </c>
      <c r="H179" s="16">
        <v>0</v>
      </c>
      <c r="I179" s="16">
        <v>0</v>
      </c>
      <c r="J179" s="16">
        <f>1148106.7+13837.2+765404.5</f>
        <v>1927348.4</v>
      </c>
    </row>
    <row r="180" spans="1:10" ht="12" customHeight="1" x14ac:dyDescent="0.25">
      <c r="A180" s="51"/>
      <c r="B180" s="52"/>
      <c r="C180" s="51" t="s">
        <v>70</v>
      </c>
      <c r="D180" s="23" t="s">
        <v>3</v>
      </c>
      <c r="E180" s="18">
        <f t="shared" si="90"/>
        <v>0</v>
      </c>
      <c r="F180" s="18">
        <f t="shared" ref="F180:J180" si="100">ROUND(SUM(F181:F186),5)</f>
        <v>0</v>
      </c>
      <c r="G180" s="18">
        <f t="shared" si="100"/>
        <v>0</v>
      </c>
      <c r="H180" s="18">
        <f t="shared" ref="H180:I180" si="101">ROUND(SUM(H181:H186),5)</f>
        <v>0</v>
      </c>
      <c r="I180" s="18">
        <f t="shared" si="101"/>
        <v>0</v>
      </c>
      <c r="J180" s="18">
        <f t="shared" si="100"/>
        <v>0</v>
      </c>
    </row>
    <row r="181" spans="1:10" x14ac:dyDescent="0.25">
      <c r="A181" s="51"/>
      <c r="B181" s="52"/>
      <c r="C181" s="51"/>
      <c r="D181" s="26" t="s">
        <v>4</v>
      </c>
      <c r="E181" s="16">
        <f t="shared" si="90"/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</row>
    <row r="182" spans="1:10" ht="31.5" x14ac:dyDescent="0.25">
      <c r="A182" s="51"/>
      <c r="B182" s="52"/>
      <c r="C182" s="51"/>
      <c r="D182" s="26" t="s">
        <v>5</v>
      </c>
      <c r="E182" s="16">
        <f t="shared" si="90"/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</row>
    <row r="183" spans="1:10" x14ac:dyDescent="0.25">
      <c r="A183" s="51"/>
      <c r="B183" s="52"/>
      <c r="C183" s="51"/>
      <c r="D183" s="26" t="s">
        <v>6</v>
      </c>
      <c r="E183" s="16">
        <f t="shared" si="90"/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</row>
    <row r="184" spans="1:10" ht="27.75" customHeight="1" x14ac:dyDescent="0.25">
      <c r="A184" s="51"/>
      <c r="B184" s="52"/>
      <c r="C184" s="51"/>
      <c r="D184" s="26" t="s">
        <v>8</v>
      </c>
      <c r="E184" s="16">
        <f t="shared" si="90"/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</row>
    <row r="185" spans="1:10" x14ac:dyDescent="0.25">
      <c r="A185" s="51"/>
      <c r="B185" s="52"/>
      <c r="C185" s="51"/>
      <c r="D185" s="26" t="s">
        <v>18</v>
      </c>
      <c r="E185" s="16">
        <f t="shared" si="90"/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</row>
    <row r="186" spans="1:10" x14ac:dyDescent="0.25">
      <c r="A186" s="51"/>
      <c r="B186" s="52"/>
      <c r="C186" s="51"/>
      <c r="D186" s="26" t="s">
        <v>7</v>
      </c>
      <c r="E186" s="16">
        <f t="shared" si="90"/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</row>
    <row r="187" spans="1:10" s="25" customFormat="1" x14ac:dyDescent="0.25">
      <c r="A187" s="55" t="s">
        <v>42</v>
      </c>
      <c r="B187" s="52" t="s">
        <v>93</v>
      </c>
      <c r="C187" s="51" t="s">
        <v>82</v>
      </c>
      <c r="D187" s="23" t="s">
        <v>3</v>
      </c>
      <c r="E187" s="18">
        <f t="shared" si="90"/>
        <v>846880.20648000005</v>
      </c>
      <c r="F187" s="18">
        <f t="shared" ref="F187:J187" si="102">ROUND(SUM(F188:F193),5)</f>
        <v>165030.63251</v>
      </c>
      <c r="G187" s="18">
        <f t="shared" si="102"/>
        <v>164113.64139</v>
      </c>
      <c r="H187" s="18">
        <f t="shared" ref="H187:I187" si="103">ROUND(SUM(H188:H193),5)</f>
        <v>166213.67176999999</v>
      </c>
      <c r="I187" s="18">
        <f t="shared" si="103"/>
        <v>167922.26081000001</v>
      </c>
      <c r="J187" s="18">
        <f t="shared" si="102"/>
        <v>183600</v>
      </c>
    </row>
    <row r="188" spans="1:10" x14ac:dyDescent="0.25">
      <c r="A188" s="55"/>
      <c r="B188" s="52"/>
      <c r="C188" s="51"/>
      <c r="D188" s="26" t="s">
        <v>4</v>
      </c>
      <c r="E188" s="16">
        <f t="shared" si="90"/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</row>
    <row r="189" spans="1:10" ht="31.5" x14ac:dyDescent="0.25">
      <c r="A189" s="55"/>
      <c r="B189" s="52"/>
      <c r="C189" s="51"/>
      <c r="D189" s="26" t="s">
        <v>5</v>
      </c>
      <c r="E189" s="16">
        <f t="shared" si="90"/>
        <v>467980.3</v>
      </c>
      <c r="F189" s="16">
        <f>118254.2-10000-5254-1178</f>
        <v>101822.2</v>
      </c>
      <c r="G189" s="16">
        <v>122052.7</v>
      </c>
      <c r="H189" s="16">
        <v>122052.7</v>
      </c>
      <c r="I189" s="16">
        <v>122052.7</v>
      </c>
      <c r="J189" s="16">
        <v>0</v>
      </c>
    </row>
    <row r="190" spans="1:10" x14ac:dyDescent="0.25">
      <c r="A190" s="55"/>
      <c r="B190" s="52"/>
      <c r="C190" s="51"/>
      <c r="D190" s="26" t="s">
        <v>6</v>
      </c>
      <c r="E190" s="16">
        <f t="shared" si="90"/>
        <v>337346.39072999998</v>
      </c>
      <c r="F190" s="16">
        <f>86514.689-3551.162-26734.99358+19.032-421-862.73+456.2+5799.43303-600-2279+2000+3158.35928-290.39522</f>
        <v>63208.432509999999</v>
      </c>
      <c r="G190" s="16">
        <v>36404.647169999997</v>
      </c>
      <c r="H190" s="16">
        <v>38319.620669999997</v>
      </c>
      <c r="I190" s="16">
        <v>39813.69038</v>
      </c>
      <c r="J190" s="16">
        <f>4*39900</f>
        <v>159600</v>
      </c>
    </row>
    <row r="191" spans="1:10" ht="31.5" x14ac:dyDescent="0.25">
      <c r="A191" s="55"/>
      <c r="B191" s="52"/>
      <c r="C191" s="51"/>
      <c r="D191" s="26" t="s">
        <v>8</v>
      </c>
      <c r="E191" s="16">
        <f t="shared" si="90"/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</row>
    <row r="192" spans="1:10" x14ac:dyDescent="0.25">
      <c r="A192" s="55"/>
      <c r="B192" s="52"/>
      <c r="C192" s="51"/>
      <c r="D192" s="26" t="s">
        <v>18</v>
      </c>
      <c r="E192" s="16">
        <f t="shared" si="90"/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</row>
    <row r="193" spans="1:11" ht="44.25" customHeight="1" x14ac:dyDescent="0.25">
      <c r="A193" s="55"/>
      <c r="B193" s="52"/>
      <c r="C193" s="51"/>
      <c r="D193" s="26" t="s">
        <v>17</v>
      </c>
      <c r="E193" s="16">
        <f t="shared" si="90"/>
        <v>41553.515749999999</v>
      </c>
      <c r="F193" s="8">
        <v>0</v>
      </c>
      <c r="G193" s="8">
        <v>5656.2942199999998</v>
      </c>
      <c r="H193" s="8">
        <v>5841.3510999999999</v>
      </c>
      <c r="I193" s="8">
        <v>6055.8704299999999</v>
      </c>
      <c r="J193" s="8">
        <f>4*6000</f>
        <v>24000</v>
      </c>
    </row>
    <row r="194" spans="1:11" ht="19.5" customHeight="1" x14ac:dyDescent="0.25">
      <c r="A194" s="55" t="s">
        <v>53</v>
      </c>
      <c r="B194" s="52" t="s">
        <v>62</v>
      </c>
      <c r="C194" s="51" t="s">
        <v>65</v>
      </c>
      <c r="D194" s="23" t="s">
        <v>3</v>
      </c>
      <c r="E194" s="18">
        <f t="shared" ref="E194:E200" si="104">ROUND(SUM(F194:J194),5)</f>
        <v>127853.65102</v>
      </c>
      <c r="F194" s="9">
        <f t="shared" ref="F194:J194" si="105">ROUND(SUM(F195:F200),5)</f>
        <v>36128.651019999998</v>
      </c>
      <c r="G194" s="18">
        <f t="shared" si="105"/>
        <v>0</v>
      </c>
      <c r="H194" s="18">
        <f t="shared" si="105"/>
        <v>0</v>
      </c>
      <c r="I194" s="18">
        <f t="shared" si="105"/>
        <v>0</v>
      </c>
      <c r="J194" s="18">
        <f t="shared" si="105"/>
        <v>91725</v>
      </c>
    </row>
    <row r="195" spans="1:11" ht="19.5" customHeight="1" x14ac:dyDescent="0.25">
      <c r="A195" s="55"/>
      <c r="B195" s="52"/>
      <c r="C195" s="51"/>
      <c r="D195" s="26" t="s">
        <v>4</v>
      </c>
      <c r="E195" s="16">
        <f t="shared" si="104"/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</row>
    <row r="196" spans="1:11" ht="33.75" customHeight="1" x14ac:dyDescent="0.25">
      <c r="A196" s="55"/>
      <c r="B196" s="52"/>
      <c r="C196" s="51"/>
      <c r="D196" s="26" t="s">
        <v>5</v>
      </c>
      <c r="E196" s="16">
        <f t="shared" si="104"/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</row>
    <row r="197" spans="1:11" ht="19.5" customHeight="1" x14ac:dyDescent="0.25">
      <c r="A197" s="55"/>
      <c r="B197" s="52"/>
      <c r="C197" s="51"/>
      <c r="D197" s="26" t="s">
        <v>6</v>
      </c>
      <c r="E197" s="16">
        <f t="shared" si="104"/>
        <v>36128.651019999998</v>
      </c>
      <c r="F197" s="64">
        <f>40822.6-5102.82025+408.98349-0.11222</f>
        <v>36128.651019999998</v>
      </c>
      <c r="G197" s="17">
        <v>0</v>
      </c>
      <c r="H197" s="17">
        <v>0</v>
      </c>
      <c r="I197" s="17">
        <v>0</v>
      </c>
      <c r="J197" s="17">
        <v>0</v>
      </c>
      <c r="K197" s="19" t="s">
        <v>56</v>
      </c>
    </row>
    <row r="198" spans="1:11" ht="28.5" customHeight="1" x14ac:dyDescent="0.25">
      <c r="A198" s="55"/>
      <c r="B198" s="52"/>
      <c r="C198" s="51"/>
      <c r="D198" s="26" t="s">
        <v>8</v>
      </c>
      <c r="E198" s="16">
        <f t="shared" si="104"/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</row>
    <row r="199" spans="1:11" ht="19.5" customHeight="1" x14ac:dyDescent="0.25">
      <c r="A199" s="55"/>
      <c r="B199" s="52"/>
      <c r="C199" s="51"/>
      <c r="D199" s="26" t="s">
        <v>18</v>
      </c>
      <c r="E199" s="16">
        <f t="shared" si="104"/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</row>
    <row r="200" spans="1:11" ht="19.5" customHeight="1" x14ac:dyDescent="0.25">
      <c r="A200" s="55"/>
      <c r="B200" s="52"/>
      <c r="C200" s="51"/>
      <c r="D200" s="26" t="s">
        <v>17</v>
      </c>
      <c r="E200" s="16">
        <f t="shared" si="104"/>
        <v>91725</v>
      </c>
      <c r="F200" s="16">
        <v>0</v>
      </c>
      <c r="G200" s="16">
        <f>29219.76+10948.64-29219.76-10948.64</f>
        <v>0</v>
      </c>
      <c r="H200" s="16">
        <f>51556.6-51556.6</f>
        <v>0</v>
      </c>
      <c r="I200" s="16">
        <v>0</v>
      </c>
      <c r="J200" s="17">
        <f>51556.6+29219.76+10948.64</f>
        <v>91725</v>
      </c>
      <c r="K200" s="19" t="s">
        <v>55</v>
      </c>
    </row>
    <row r="201" spans="1:11" s="25" customFormat="1" ht="15.75" customHeight="1" x14ac:dyDescent="0.25">
      <c r="A201" s="58" t="s">
        <v>54</v>
      </c>
      <c r="B201" s="52" t="s">
        <v>61</v>
      </c>
      <c r="C201" s="51" t="s">
        <v>78</v>
      </c>
      <c r="D201" s="23" t="s">
        <v>3</v>
      </c>
      <c r="E201" s="18">
        <f>ROUND(SUM(F201:J201),5)</f>
        <v>2986.20993</v>
      </c>
      <c r="F201" s="18">
        <f>ROUND(SUM(F202:F207),5)</f>
        <v>2986.20993</v>
      </c>
      <c r="G201" s="18">
        <f>ROUND(SUM(G202:G207),5)</f>
        <v>0</v>
      </c>
      <c r="H201" s="18">
        <f>ROUND(SUM(H202:H207),5)</f>
        <v>0</v>
      </c>
      <c r="I201" s="18">
        <f>ROUND(SUM(I202:I207),5)</f>
        <v>0</v>
      </c>
      <c r="J201" s="18">
        <f>ROUND(SUM(J202:J207),5)</f>
        <v>0</v>
      </c>
    </row>
    <row r="202" spans="1:11" x14ac:dyDescent="0.25">
      <c r="A202" s="51"/>
      <c r="B202" s="52"/>
      <c r="C202" s="51"/>
      <c r="D202" s="26" t="s">
        <v>4</v>
      </c>
      <c r="E202" s="16">
        <f t="shared" ref="E202:E207" si="106">SUM(F202:J202)</f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</row>
    <row r="203" spans="1:11" ht="29.25" customHeight="1" x14ac:dyDescent="0.25">
      <c r="A203" s="51"/>
      <c r="B203" s="52"/>
      <c r="C203" s="51"/>
      <c r="D203" s="26" t="s">
        <v>5</v>
      </c>
      <c r="E203" s="16">
        <f t="shared" si="106"/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</row>
    <row r="204" spans="1:11" x14ac:dyDescent="0.25">
      <c r="A204" s="51"/>
      <c r="B204" s="52"/>
      <c r="C204" s="51"/>
      <c r="D204" s="26" t="s">
        <v>6</v>
      </c>
      <c r="E204" s="16">
        <f t="shared" si="106"/>
        <v>2986.20993</v>
      </c>
      <c r="F204" s="16">
        <f>3143.96-20-110.75-15-12.00007</f>
        <v>2986.20993</v>
      </c>
      <c r="G204" s="16">
        <v>0</v>
      </c>
      <c r="H204" s="16">
        <v>0</v>
      </c>
      <c r="I204" s="16">
        <v>0</v>
      </c>
      <c r="J204" s="16">
        <f>H204*5</f>
        <v>0</v>
      </c>
    </row>
    <row r="205" spans="1:11" ht="31.5" x14ac:dyDescent="0.25">
      <c r="A205" s="51"/>
      <c r="B205" s="52"/>
      <c r="C205" s="51"/>
      <c r="D205" s="26" t="s">
        <v>8</v>
      </c>
      <c r="E205" s="16">
        <f t="shared" si="106"/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</row>
    <row r="206" spans="1:11" x14ac:dyDescent="0.25">
      <c r="A206" s="51"/>
      <c r="B206" s="52"/>
      <c r="C206" s="51"/>
      <c r="D206" s="26" t="s">
        <v>18</v>
      </c>
      <c r="E206" s="16">
        <f t="shared" si="106"/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</row>
    <row r="207" spans="1:11" x14ac:dyDescent="0.25">
      <c r="A207" s="51"/>
      <c r="B207" s="52"/>
      <c r="C207" s="51"/>
      <c r="D207" s="26" t="s">
        <v>7</v>
      </c>
      <c r="E207" s="16">
        <f t="shared" si="106"/>
        <v>0</v>
      </c>
      <c r="F207" s="16">
        <f>199-199</f>
        <v>0</v>
      </c>
      <c r="G207" s="16">
        <v>0</v>
      </c>
      <c r="H207" s="16">
        <v>0</v>
      </c>
      <c r="I207" s="16">
        <v>0</v>
      </c>
      <c r="J207" s="16">
        <f>H207*4</f>
        <v>0</v>
      </c>
    </row>
    <row r="208" spans="1:11" s="25" customFormat="1" x14ac:dyDescent="0.25">
      <c r="A208" s="51"/>
      <c r="B208" s="52" t="s">
        <v>12</v>
      </c>
      <c r="C208" s="51"/>
      <c r="D208" s="23" t="s">
        <v>3</v>
      </c>
      <c r="E208" s="18">
        <f t="shared" ref="E208:E221" si="107">ROUND(SUM(F208:J208),5)</f>
        <v>3214193.1362600001</v>
      </c>
      <c r="F208" s="18">
        <f t="shared" ref="F208:J208" si="108">ROUND(SUM(F209:F214),5)</f>
        <v>224097.66729000001</v>
      </c>
      <c r="G208" s="18">
        <f t="shared" si="108"/>
        <v>185887.22938999999</v>
      </c>
      <c r="H208" s="18">
        <f t="shared" ref="H208:I208" si="109">ROUND(SUM(H209:H214),5)</f>
        <v>175427.56776999999</v>
      </c>
      <c r="I208" s="18">
        <f t="shared" si="109"/>
        <v>171957.47180999999</v>
      </c>
      <c r="J208" s="18">
        <f t="shared" si="108"/>
        <v>2456823.2000000002</v>
      </c>
    </row>
    <row r="209" spans="1:12" x14ac:dyDescent="0.25">
      <c r="A209" s="51"/>
      <c r="B209" s="52"/>
      <c r="C209" s="51"/>
      <c r="D209" s="26" t="s">
        <v>4</v>
      </c>
      <c r="E209" s="16">
        <f t="shared" si="107"/>
        <v>0</v>
      </c>
      <c r="F209" s="32">
        <f>ROUND(F146+F153+F160+F167+F202+F188+F195+F139,5)</f>
        <v>0</v>
      </c>
      <c r="G209" s="32">
        <f t="shared" ref="G209:J209" si="110">ROUND(G146+G153+G160+G167+G202+G188+G195+G139,5)</f>
        <v>0</v>
      </c>
      <c r="H209" s="32">
        <f t="shared" si="110"/>
        <v>0</v>
      </c>
      <c r="I209" s="32">
        <f t="shared" si="110"/>
        <v>0</v>
      </c>
      <c r="J209" s="32">
        <f t="shared" si="110"/>
        <v>0</v>
      </c>
    </row>
    <row r="210" spans="1:12" ht="27.75" customHeight="1" x14ac:dyDescent="0.25">
      <c r="A210" s="51"/>
      <c r="B210" s="52"/>
      <c r="C210" s="51"/>
      <c r="D210" s="26" t="s">
        <v>5</v>
      </c>
      <c r="E210" s="16">
        <f t="shared" si="107"/>
        <v>468480.3</v>
      </c>
      <c r="F210" s="32">
        <f>ROUND(F147+F154+F161+F168+F196+F203+F189+F140,5)</f>
        <v>102322.2</v>
      </c>
      <c r="G210" s="32">
        <f t="shared" ref="G210:J210" si="111">ROUND(G147+G154+G161+G168+G196+G203+G189+G140,5)</f>
        <v>122052.7</v>
      </c>
      <c r="H210" s="32">
        <f t="shared" si="111"/>
        <v>122052.7</v>
      </c>
      <c r="I210" s="32">
        <f t="shared" si="111"/>
        <v>122052.7</v>
      </c>
      <c r="J210" s="32">
        <f t="shared" si="111"/>
        <v>0</v>
      </c>
    </row>
    <row r="211" spans="1:12" x14ac:dyDescent="0.25">
      <c r="A211" s="51"/>
      <c r="B211" s="52"/>
      <c r="C211" s="51"/>
      <c r="D211" s="26" t="s">
        <v>6</v>
      </c>
      <c r="E211" s="16">
        <f t="shared" si="107"/>
        <v>662328.49118999997</v>
      </c>
      <c r="F211" s="32">
        <f>ROUND(F148+F155+F162+F169+F197+F204+F190+F141,5)</f>
        <v>108162.79296999999</v>
      </c>
      <c r="G211" s="32">
        <f t="shared" ref="G211:J211" si="112">ROUND(G148+G155+G162+G169+G197+G204+G190+G141,5)</f>
        <v>49033.480170000003</v>
      </c>
      <c r="H211" s="32">
        <f t="shared" si="112"/>
        <v>47533.516669999997</v>
      </c>
      <c r="I211" s="32">
        <f t="shared" si="112"/>
        <v>43848.901380000003</v>
      </c>
      <c r="J211" s="32">
        <f t="shared" si="112"/>
        <v>413749.8</v>
      </c>
    </row>
    <row r="212" spans="1:12" ht="30.75" customHeight="1" x14ac:dyDescent="0.25">
      <c r="A212" s="51"/>
      <c r="B212" s="52"/>
      <c r="C212" s="51"/>
      <c r="D212" s="26" t="s">
        <v>8</v>
      </c>
      <c r="E212" s="16">
        <f t="shared" si="107"/>
        <v>0</v>
      </c>
      <c r="F212" s="32">
        <f t="shared" ref="F212:J214" si="113">ROUND(F149+F156+F163+F170+F198+F205+F191+F142,5)</f>
        <v>0</v>
      </c>
      <c r="G212" s="32">
        <f t="shared" si="113"/>
        <v>0</v>
      </c>
      <c r="H212" s="32">
        <f t="shared" si="113"/>
        <v>0</v>
      </c>
      <c r="I212" s="32">
        <f t="shared" si="113"/>
        <v>0</v>
      </c>
      <c r="J212" s="32">
        <f t="shared" si="113"/>
        <v>0</v>
      </c>
    </row>
    <row r="213" spans="1:12" x14ac:dyDescent="0.25">
      <c r="A213" s="51"/>
      <c r="B213" s="52"/>
      <c r="C213" s="51"/>
      <c r="D213" s="26" t="s">
        <v>18</v>
      </c>
      <c r="E213" s="16">
        <f t="shared" si="107"/>
        <v>0</v>
      </c>
      <c r="F213" s="32">
        <f t="shared" si="113"/>
        <v>0</v>
      </c>
      <c r="G213" s="32">
        <f t="shared" si="113"/>
        <v>0</v>
      </c>
      <c r="H213" s="32">
        <f t="shared" si="113"/>
        <v>0</v>
      </c>
      <c r="I213" s="32">
        <f t="shared" si="113"/>
        <v>0</v>
      </c>
      <c r="J213" s="32">
        <f t="shared" si="113"/>
        <v>0</v>
      </c>
    </row>
    <row r="214" spans="1:12" x14ac:dyDescent="0.25">
      <c r="A214" s="51"/>
      <c r="B214" s="52"/>
      <c r="C214" s="51"/>
      <c r="D214" s="26" t="s">
        <v>7</v>
      </c>
      <c r="E214" s="16">
        <f t="shared" si="107"/>
        <v>2083384.34507</v>
      </c>
      <c r="F214" s="32">
        <f>ROUND(F151+F158+F165+F172+F200+F207+F193+F144,5)</f>
        <v>13612.67432</v>
      </c>
      <c r="G214" s="32">
        <f>ROUND(G151+G158+G165+G172+G200+G207+G193+G144,5)</f>
        <v>14801.049220000001</v>
      </c>
      <c r="H214" s="32">
        <f t="shared" si="113"/>
        <v>5841.3510999999999</v>
      </c>
      <c r="I214" s="32">
        <f t="shared" si="113"/>
        <v>6055.8704299999999</v>
      </c>
      <c r="J214" s="32">
        <f t="shared" si="113"/>
        <v>2043073.4</v>
      </c>
    </row>
    <row r="215" spans="1:12" s="25" customFormat="1" x14ac:dyDescent="0.25">
      <c r="A215" s="53" t="s">
        <v>13</v>
      </c>
      <c r="B215" s="53"/>
      <c r="C215" s="54"/>
      <c r="D215" s="23" t="s">
        <v>3</v>
      </c>
      <c r="E215" s="18">
        <f t="shared" si="107"/>
        <v>15016368.63558</v>
      </c>
      <c r="F215" s="18">
        <f t="shared" ref="F215:J215" si="114">ROUND(SUM(F216:F221),5)</f>
        <v>2445123.4032200002</v>
      </c>
      <c r="G215" s="18">
        <f t="shared" si="114"/>
        <v>2535862.05602</v>
      </c>
      <c r="H215" s="18">
        <f t="shared" ref="H215:I215" si="115">ROUND(SUM(H216:H221),5)</f>
        <v>2611567.6225100001</v>
      </c>
      <c r="I215" s="18">
        <f t="shared" si="115"/>
        <v>2612490.04287</v>
      </c>
      <c r="J215" s="18">
        <f t="shared" si="114"/>
        <v>4811325.5109599996</v>
      </c>
    </row>
    <row r="216" spans="1:12" x14ac:dyDescent="0.25">
      <c r="A216" s="53"/>
      <c r="B216" s="53"/>
      <c r="C216" s="54"/>
      <c r="D216" s="23" t="s">
        <v>4</v>
      </c>
      <c r="E216" s="18">
        <f t="shared" si="107"/>
        <v>212761.7</v>
      </c>
      <c r="F216" s="18">
        <f t="shared" ref="F216:J221" si="116">ROUND(F95+F131+F209,5)</f>
        <v>51698.8</v>
      </c>
      <c r="G216" s="18">
        <f t="shared" si="116"/>
        <v>55322</v>
      </c>
      <c r="H216" s="18">
        <f t="shared" si="116"/>
        <v>54333</v>
      </c>
      <c r="I216" s="18">
        <f t="shared" si="116"/>
        <v>51407.9</v>
      </c>
      <c r="J216" s="18">
        <f t="shared" si="116"/>
        <v>0</v>
      </c>
    </row>
    <row r="217" spans="1:12" ht="31.5" x14ac:dyDescent="0.25">
      <c r="A217" s="53"/>
      <c r="B217" s="53"/>
      <c r="C217" s="54"/>
      <c r="D217" s="23" t="s">
        <v>5</v>
      </c>
      <c r="E217" s="18">
        <f t="shared" si="107"/>
        <v>7426321.7999999998</v>
      </c>
      <c r="F217" s="18">
        <f t="shared" si="116"/>
        <v>1760000.1</v>
      </c>
      <c r="G217" s="18">
        <f t="shared" si="116"/>
        <v>1809098</v>
      </c>
      <c r="H217" s="18">
        <f t="shared" si="116"/>
        <v>1927097.4</v>
      </c>
      <c r="I217" s="18">
        <f t="shared" si="116"/>
        <v>1930126.3</v>
      </c>
      <c r="J217" s="18">
        <f t="shared" si="116"/>
        <v>0</v>
      </c>
    </row>
    <row r="218" spans="1:12" x14ac:dyDescent="0.25">
      <c r="A218" s="53"/>
      <c r="B218" s="53"/>
      <c r="C218" s="54"/>
      <c r="D218" s="23" t="s">
        <v>6</v>
      </c>
      <c r="E218" s="18">
        <f t="shared" si="107"/>
        <v>3591325.4398599998</v>
      </c>
      <c r="F218" s="18">
        <f t="shared" si="116"/>
        <v>619811.82889999996</v>
      </c>
      <c r="G218" s="18">
        <f t="shared" si="116"/>
        <v>400488.5</v>
      </c>
      <c r="H218" s="18">
        <f t="shared" si="116"/>
        <v>383786.5</v>
      </c>
      <c r="I218" s="18">
        <f t="shared" si="116"/>
        <v>383786.5</v>
      </c>
      <c r="J218" s="18">
        <f t="shared" si="116"/>
        <v>1803452.11096</v>
      </c>
    </row>
    <row r="219" spans="1:12" ht="47.25" x14ac:dyDescent="0.25">
      <c r="A219" s="53"/>
      <c r="B219" s="53"/>
      <c r="C219" s="54"/>
      <c r="D219" s="23" t="s">
        <v>8</v>
      </c>
      <c r="E219" s="18">
        <f t="shared" si="107"/>
        <v>0</v>
      </c>
      <c r="F219" s="18">
        <f t="shared" si="116"/>
        <v>0</v>
      </c>
      <c r="G219" s="18">
        <f t="shared" si="116"/>
        <v>0</v>
      </c>
      <c r="H219" s="18">
        <f t="shared" si="116"/>
        <v>0</v>
      </c>
      <c r="I219" s="18">
        <f t="shared" si="116"/>
        <v>0</v>
      </c>
      <c r="J219" s="18">
        <f t="shared" si="116"/>
        <v>0</v>
      </c>
      <c r="K219" s="27"/>
      <c r="L219" s="27"/>
    </row>
    <row r="220" spans="1:12" x14ac:dyDescent="0.25">
      <c r="A220" s="53"/>
      <c r="B220" s="53"/>
      <c r="C220" s="54"/>
      <c r="D220" s="23" t="s">
        <v>18</v>
      </c>
      <c r="E220" s="18">
        <f t="shared" si="107"/>
        <v>0</v>
      </c>
      <c r="F220" s="18">
        <f t="shared" si="116"/>
        <v>0</v>
      </c>
      <c r="G220" s="18">
        <f t="shared" si="116"/>
        <v>0</v>
      </c>
      <c r="H220" s="18">
        <f t="shared" si="116"/>
        <v>0</v>
      </c>
      <c r="I220" s="18">
        <f t="shared" si="116"/>
        <v>0</v>
      </c>
      <c r="J220" s="18">
        <f t="shared" si="116"/>
        <v>0</v>
      </c>
    </row>
    <row r="221" spans="1:12" x14ac:dyDescent="0.25">
      <c r="A221" s="53"/>
      <c r="B221" s="53"/>
      <c r="C221" s="54"/>
      <c r="D221" s="23" t="s">
        <v>7</v>
      </c>
      <c r="E221" s="18">
        <f t="shared" si="107"/>
        <v>3785959.6957200002</v>
      </c>
      <c r="F221" s="18">
        <f>ROUND(F100+F136+F214,5)</f>
        <v>13612.67432</v>
      </c>
      <c r="G221" s="18">
        <f t="shared" si="116"/>
        <v>270953.55602000002</v>
      </c>
      <c r="H221" s="18">
        <f t="shared" si="116"/>
        <v>246350.72250999999</v>
      </c>
      <c r="I221" s="18">
        <f t="shared" si="116"/>
        <v>247169.34286999999</v>
      </c>
      <c r="J221" s="18">
        <f t="shared" si="116"/>
        <v>3007873.4</v>
      </c>
    </row>
    <row r="222" spans="1:12" x14ac:dyDescent="0.25">
      <c r="A222" s="52" t="s">
        <v>14</v>
      </c>
      <c r="B222" s="52"/>
      <c r="C222" s="43"/>
      <c r="D222" s="26"/>
      <c r="E222" s="16"/>
      <c r="F222" s="16"/>
      <c r="G222" s="16"/>
      <c r="H222" s="16"/>
      <c r="I222" s="16"/>
      <c r="J222" s="16"/>
    </row>
    <row r="223" spans="1:12" s="25" customFormat="1" x14ac:dyDescent="0.25">
      <c r="A223" s="52" t="s">
        <v>43</v>
      </c>
      <c r="B223" s="52"/>
      <c r="C223" s="51"/>
      <c r="D223" s="23" t="s">
        <v>3</v>
      </c>
      <c r="E223" s="18">
        <f t="shared" ref="E223:E236" si="117">ROUND(SUM(F223:J223),5)</f>
        <v>11199.195</v>
      </c>
      <c r="F223" s="18">
        <f t="shared" ref="F223:J223" si="118">ROUND(SUM(F224:F229),5)</f>
        <v>2689.7</v>
      </c>
      <c r="G223" s="18">
        <f t="shared" si="118"/>
        <v>2651.9189999999999</v>
      </c>
      <c r="H223" s="18">
        <f t="shared" ref="H223:I223" si="119">ROUND(SUM(H224:H229),5)</f>
        <v>2651.9189999999999</v>
      </c>
      <c r="I223" s="18">
        <f t="shared" si="119"/>
        <v>3205.6570000000002</v>
      </c>
      <c r="J223" s="18">
        <f t="shared" si="118"/>
        <v>0</v>
      </c>
    </row>
    <row r="224" spans="1:12" x14ac:dyDescent="0.25">
      <c r="A224" s="52"/>
      <c r="B224" s="52"/>
      <c r="C224" s="51"/>
      <c r="D224" s="26" t="s">
        <v>4</v>
      </c>
      <c r="E224" s="16">
        <f t="shared" ref="E224:E226" si="120">ROUND(SUM(F224:J224),5)</f>
        <v>4133.6000000000004</v>
      </c>
      <c r="F224" s="11">
        <v>1038.5</v>
      </c>
      <c r="G224" s="11">
        <v>1023.9</v>
      </c>
      <c r="H224" s="11">
        <v>1023.9</v>
      </c>
      <c r="I224" s="11">
        <v>1047.3</v>
      </c>
      <c r="J224" s="32">
        <f t="shared" ref="F224:J229" si="121">ROUND(J146+J153+J11+J103+J139,5)</f>
        <v>0</v>
      </c>
    </row>
    <row r="225" spans="1:10" ht="31.5" x14ac:dyDescent="0.25">
      <c r="A225" s="52"/>
      <c r="B225" s="52"/>
      <c r="C225" s="51"/>
      <c r="D225" s="26" t="s">
        <v>5</v>
      </c>
      <c r="E225" s="16">
        <f t="shared" si="120"/>
        <v>6953.6</v>
      </c>
      <c r="F225" s="11">
        <v>1624.3</v>
      </c>
      <c r="G225" s="11">
        <v>1601.5</v>
      </c>
      <c r="H225" s="11">
        <v>1601.5</v>
      </c>
      <c r="I225" s="11">
        <v>2126.3000000000002</v>
      </c>
      <c r="J225" s="32">
        <f t="shared" si="121"/>
        <v>0</v>
      </c>
    </row>
    <row r="226" spans="1:10" x14ac:dyDescent="0.25">
      <c r="A226" s="52"/>
      <c r="B226" s="52"/>
      <c r="C226" s="51"/>
      <c r="D226" s="26" t="s">
        <v>6</v>
      </c>
      <c r="E226" s="16">
        <f t="shared" si="120"/>
        <v>111.995</v>
      </c>
      <c r="F226" s="12">
        <v>26.9</v>
      </c>
      <c r="G226" s="12">
        <v>26.518999999999998</v>
      </c>
      <c r="H226" s="12">
        <v>26.518999999999998</v>
      </c>
      <c r="I226" s="12">
        <v>32.057000000000002</v>
      </c>
      <c r="J226" s="32">
        <f t="shared" si="121"/>
        <v>0</v>
      </c>
    </row>
    <row r="227" spans="1:10" ht="31.5" x14ac:dyDescent="0.25">
      <c r="A227" s="52"/>
      <c r="B227" s="52"/>
      <c r="C227" s="51"/>
      <c r="D227" s="26" t="s">
        <v>8</v>
      </c>
      <c r="E227" s="18">
        <f t="shared" si="117"/>
        <v>0</v>
      </c>
      <c r="F227" s="32">
        <f t="shared" si="121"/>
        <v>0</v>
      </c>
      <c r="G227" s="32">
        <f t="shared" si="121"/>
        <v>0</v>
      </c>
      <c r="H227" s="32">
        <f t="shared" si="121"/>
        <v>0</v>
      </c>
      <c r="I227" s="32">
        <f t="shared" si="121"/>
        <v>0</v>
      </c>
      <c r="J227" s="32">
        <f t="shared" si="121"/>
        <v>0</v>
      </c>
    </row>
    <row r="228" spans="1:10" x14ac:dyDescent="0.25">
      <c r="A228" s="52"/>
      <c r="B228" s="52"/>
      <c r="C228" s="51"/>
      <c r="D228" s="26" t="s">
        <v>18</v>
      </c>
      <c r="E228" s="18">
        <f t="shared" si="117"/>
        <v>0</v>
      </c>
      <c r="F228" s="32">
        <f t="shared" si="121"/>
        <v>0</v>
      </c>
      <c r="G228" s="32">
        <f t="shared" si="121"/>
        <v>0</v>
      </c>
      <c r="H228" s="32">
        <f t="shared" si="121"/>
        <v>0</v>
      </c>
      <c r="I228" s="32">
        <f t="shared" si="121"/>
        <v>0</v>
      </c>
      <c r="J228" s="32">
        <f t="shared" si="121"/>
        <v>0</v>
      </c>
    </row>
    <row r="229" spans="1:10" x14ac:dyDescent="0.25">
      <c r="A229" s="52"/>
      <c r="B229" s="52"/>
      <c r="C229" s="51"/>
      <c r="D229" s="26" t="s">
        <v>7</v>
      </c>
      <c r="E229" s="18">
        <f t="shared" si="117"/>
        <v>0</v>
      </c>
      <c r="F229" s="32">
        <f t="shared" si="121"/>
        <v>0</v>
      </c>
      <c r="G229" s="32">
        <f t="shared" si="121"/>
        <v>0</v>
      </c>
      <c r="H229" s="32">
        <f t="shared" si="121"/>
        <v>0</v>
      </c>
      <c r="I229" s="32">
        <f t="shared" si="121"/>
        <v>0</v>
      </c>
      <c r="J229" s="32">
        <f t="shared" si="121"/>
        <v>0</v>
      </c>
    </row>
    <row r="230" spans="1:10" s="25" customFormat="1" x14ac:dyDescent="0.25">
      <c r="A230" s="52" t="s">
        <v>44</v>
      </c>
      <c r="B230" s="52"/>
      <c r="C230" s="51"/>
      <c r="D230" s="23" t="s">
        <v>3</v>
      </c>
      <c r="E230" s="18">
        <f t="shared" si="117"/>
        <v>15005169.440579999</v>
      </c>
      <c r="F230" s="18">
        <f t="shared" ref="F230:J230" si="122">ROUND(SUM(F231:F236),5)</f>
        <v>2442433.70322</v>
      </c>
      <c r="G230" s="18">
        <f t="shared" si="122"/>
        <v>2533210.1370199998</v>
      </c>
      <c r="H230" s="18">
        <f t="shared" ref="H230:I230" si="123">ROUND(SUM(H231:H236),5)</f>
        <v>2608915.7035099999</v>
      </c>
      <c r="I230" s="18">
        <f t="shared" si="123"/>
        <v>2609284.3858699999</v>
      </c>
      <c r="J230" s="18">
        <f t="shared" si="122"/>
        <v>4811325.5109599996</v>
      </c>
    </row>
    <row r="231" spans="1:10" x14ac:dyDescent="0.25">
      <c r="A231" s="52"/>
      <c r="B231" s="52"/>
      <c r="C231" s="51"/>
      <c r="D231" s="26" t="s">
        <v>4</v>
      </c>
      <c r="E231" s="18">
        <f t="shared" si="117"/>
        <v>208628.1</v>
      </c>
      <c r="F231" s="32">
        <f t="shared" ref="F231:J231" si="124">ROUND(F216-F224,5)</f>
        <v>50660.3</v>
      </c>
      <c r="G231" s="32">
        <f t="shared" si="124"/>
        <v>54298.1</v>
      </c>
      <c r="H231" s="32">
        <f t="shared" ref="H231:I231" si="125">ROUND(H216-H224,5)</f>
        <v>53309.1</v>
      </c>
      <c r="I231" s="32">
        <f t="shared" si="125"/>
        <v>50360.6</v>
      </c>
      <c r="J231" s="32">
        <f t="shared" si="124"/>
        <v>0</v>
      </c>
    </row>
    <row r="232" spans="1:10" ht="31.5" x14ac:dyDescent="0.25">
      <c r="A232" s="52"/>
      <c r="B232" s="52"/>
      <c r="C232" s="51"/>
      <c r="D232" s="26" t="s">
        <v>5</v>
      </c>
      <c r="E232" s="18">
        <f t="shared" si="117"/>
        <v>7419368.2000000002</v>
      </c>
      <c r="F232" s="32">
        <f t="shared" ref="F232:J236" si="126">ROUND(F217-F225,5)</f>
        <v>1758375.8</v>
      </c>
      <c r="G232" s="32">
        <f t="shared" si="126"/>
        <v>1807496.5</v>
      </c>
      <c r="H232" s="32">
        <f t="shared" ref="H232:I232" si="127">ROUND(H217-H225,5)</f>
        <v>1925495.9</v>
      </c>
      <c r="I232" s="32">
        <f t="shared" si="127"/>
        <v>1928000</v>
      </c>
      <c r="J232" s="32">
        <f t="shared" si="126"/>
        <v>0</v>
      </c>
    </row>
    <row r="233" spans="1:10" x14ac:dyDescent="0.25">
      <c r="A233" s="52"/>
      <c r="B233" s="52"/>
      <c r="C233" s="51"/>
      <c r="D233" s="26" t="s">
        <v>6</v>
      </c>
      <c r="E233" s="18">
        <f t="shared" si="117"/>
        <v>3591213.4448600002</v>
      </c>
      <c r="F233" s="32">
        <f t="shared" si="126"/>
        <v>619784.92890000006</v>
      </c>
      <c r="G233" s="32">
        <f t="shared" si="126"/>
        <v>400461.98100000003</v>
      </c>
      <c r="H233" s="32">
        <f t="shared" ref="H233:I233" si="128">ROUND(H218-H226,5)</f>
        <v>383759.98100000003</v>
      </c>
      <c r="I233" s="32">
        <f t="shared" si="128"/>
        <v>383754.44300000003</v>
      </c>
      <c r="J233" s="32">
        <f t="shared" si="126"/>
        <v>1803452.11096</v>
      </c>
    </row>
    <row r="234" spans="1:10" ht="31.5" x14ac:dyDescent="0.25">
      <c r="A234" s="52"/>
      <c r="B234" s="52"/>
      <c r="C234" s="51"/>
      <c r="D234" s="26" t="s">
        <v>8</v>
      </c>
      <c r="E234" s="18">
        <f t="shared" si="117"/>
        <v>0</v>
      </c>
      <c r="F234" s="32">
        <f t="shared" si="126"/>
        <v>0</v>
      </c>
      <c r="G234" s="32">
        <f t="shared" si="126"/>
        <v>0</v>
      </c>
      <c r="H234" s="32">
        <f t="shared" ref="H234:I234" si="129">ROUND(H219-H227,5)</f>
        <v>0</v>
      </c>
      <c r="I234" s="32">
        <f t="shared" si="129"/>
        <v>0</v>
      </c>
      <c r="J234" s="32">
        <f t="shared" si="126"/>
        <v>0</v>
      </c>
    </row>
    <row r="235" spans="1:10" x14ac:dyDescent="0.25">
      <c r="A235" s="52"/>
      <c r="B235" s="52"/>
      <c r="C235" s="51"/>
      <c r="D235" s="26" t="s">
        <v>18</v>
      </c>
      <c r="E235" s="18">
        <f t="shared" si="117"/>
        <v>0</v>
      </c>
      <c r="F235" s="32">
        <f t="shared" si="126"/>
        <v>0</v>
      </c>
      <c r="G235" s="32">
        <f t="shared" si="126"/>
        <v>0</v>
      </c>
      <c r="H235" s="32">
        <f t="shared" ref="H235:I235" si="130">ROUND(H220-H228,5)</f>
        <v>0</v>
      </c>
      <c r="I235" s="32">
        <f t="shared" si="130"/>
        <v>0</v>
      </c>
      <c r="J235" s="32">
        <f t="shared" si="126"/>
        <v>0</v>
      </c>
    </row>
    <row r="236" spans="1:10" x14ac:dyDescent="0.25">
      <c r="A236" s="52"/>
      <c r="B236" s="52"/>
      <c r="C236" s="51"/>
      <c r="D236" s="26" t="s">
        <v>7</v>
      </c>
      <c r="E236" s="18">
        <f t="shared" si="117"/>
        <v>3785959.6957200002</v>
      </c>
      <c r="F236" s="32">
        <f t="shared" si="126"/>
        <v>13612.67432</v>
      </c>
      <c r="G236" s="32">
        <f t="shared" si="126"/>
        <v>270953.55602000002</v>
      </c>
      <c r="H236" s="32">
        <f t="shared" ref="H236:I236" si="131">ROUND(H221-H229,5)</f>
        <v>246350.72250999999</v>
      </c>
      <c r="I236" s="32">
        <f t="shared" si="131"/>
        <v>247169.34286999999</v>
      </c>
      <c r="J236" s="32">
        <f t="shared" si="126"/>
        <v>3007873.4</v>
      </c>
    </row>
    <row r="237" spans="1:10" x14ac:dyDescent="0.25">
      <c r="A237" s="47" t="s">
        <v>14</v>
      </c>
      <c r="B237" s="47"/>
      <c r="C237" s="45"/>
      <c r="D237" s="33"/>
      <c r="E237" s="8"/>
      <c r="F237" s="8"/>
      <c r="G237" s="8"/>
      <c r="H237" s="8"/>
      <c r="I237" s="8"/>
      <c r="J237" s="8"/>
    </row>
    <row r="238" spans="1:10" s="25" customFormat="1" x14ac:dyDescent="0.25">
      <c r="A238" s="47" t="s">
        <v>15</v>
      </c>
      <c r="B238" s="47"/>
      <c r="C238" s="48"/>
      <c r="D238" s="34" t="s">
        <v>3</v>
      </c>
      <c r="E238" s="9">
        <f t="shared" ref="E238:E251" si="132">ROUND(SUM(F238:J238),5)</f>
        <v>2141498.2000000002</v>
      </c>
      <c r="F238" s="9">
        <f t="shared" ref="F238:J238" si="133">ROUND(SUM(F239:F244),5)</f>
        <v>0</v>
      </c>
      <c r="G238" s="9">
        <f t="shared" si="133"/>
        <v>0</v>
      </c>
      <c r="H238" s="9">
        <f t="shared" ref="H238:I238" si="134">ROUND(SUM(H239:H244),5)</f>
        <v>0</v>
      </c>
      <c r="I238" s="9">
        <f t="shared" si="134"/>
        <v>0</v>
      </c>
      <c r="J238" s="9">
        <f t="shared" si="133"/>
        <v>2141498.2000000002</v>
      </c>
    </row>
    <row r="239" spans="1:10" x14ac:dyDescent="0.25">
      <c r="A239" s="47"/>
      <c r="B239" s="47"/>
      <c r="C239" s="48"/>
      <c r="D239" s="33" t="s">
        <v>4</v>
      </c>
      <c r="E239" s="9">
        <f t="shared" si="132"/>
        <v>0</v>
      </c>
      <c r="F239" s="8">
        <f t="shared" ref="F239:J244" si="135">ROUND(F167+F146+F139,5)</f>
        <v>0</v>
      </c>
      <c r="G239" s="8">
        <f t="shared" si="135"/>
        <v>0</v>
      </c>
      <c r="H239" s="8">
        <f t="shared" si="135"/>
        <v>0</v>
      </c>
      <c r="I239" s="8">
        <f t="shared" si="135"/>
        <v>0</v>
      </c>
      <c r="J239" s="8">
        <f t="shared" si="135"/>
        <v>0</v>
      </c>
    </row>
    <row r="240" spans="1:10" ht="31.5" x14ac:dyDescent="0.25">
      <c r="A240" s="47"/>
      <c r="B240" s="47"/>
      <c r="C240" s="48"/>
      <c r="D240" s="33" t="s">
        <v>5</v>
      </c>
      <c r="E240" s="9">
        <f t="shared" si="132"/>
        <v>0</v>
      </c>
      <c r="F240" s="8">
        <f t="shared" si="135"/>
        <v>0</v>
      </c>
      <c r="G240" s="8">
        <f t="shared" si="135"/>
        <v>0</v>
      </c>
      <c r="H240" s="8">
        <f t="shared" si="135"/>
        <v>0</v>
      </c>
      <c r="I240" s="8">
        <f t="shared" si="135"/>
        <v>0</v>
      </c>
      <c r="J240" s="8">
        <f t="shared" si="135"/>
        <v>0</v>
      </c>
    </row>
    <row r="241" spans="1:11" x14ac:dyDescent="0.25">
      <c r="A241" s="47"/>
      <c r="B241" s="47"/>
      <c r="C241" s="48"/>
      <c r="D241" s="33" t="s">
        <v>6</v>
      </c>
      <c r="E241" s="9">
        <f t="shared" si="132"/>
        <v>214149.8</v>
      </c>
      <c r="F241" s="8">
        <f t="shared" si="135"/>
        <v>0</v>
      </c>
      <c r="G241" s="8">
        <f t="shared" si="135"/>
        <v>0</v>
      </c>
      <c r="H241" s="8">
        <f t="shared" si="135"/>
        <v>0</v>
      </c>
      <c r="I241" s="8">
        <f t="shared" si="135"/>
        <v>0</v>
      </c>
      <c r="J241" s="8">
        <f t="shared" si="135"/>
        <v>214149.8</v>
      </c>
    </row>
    <row r="242" spans="1:11" ht="31.5" x14ac:dyDescent="0.25">
      <c r="A242" s="47"/>
      <c r="B242" s="47"/>
      <c r="C242" s="48"/>
      <c r="D242" s="33" t="s">
        <v>8</v>
      </c>
      <c r="E242" s="9">
        <f t="shared" si="132"/>
        <v>0</v>
      </c>
      <c r="F242" s="8">
        <f t="shared" si="135"/>
        <v>0</v>
      </c>
      <c r="G242" s="8">
        <f t="shared" si="135"/>
        <v>0</v>
      </c>
      <c r="H242" s="8">
        <f t="shared" si="135"/>
        <v>0</v>
      </c>
      <c r="I242" s="8">
        <f t="shared" si="135"/>
        <v>0</v>
      </c>
      <c r="J242" s="8">
        <f t="shared" si="135"/>
        <v>0</v>
      </c>
    </row>
    <row r="243" spans="1:11" x14ac:dyDescent="0.25">
      <c r="A243" s="47"/>
      <c r="B243" s="47"/>
      <c r="C243" s="48"/>
      <c r="D243" s="33" t="s">
        <v>18</v>
      </c>
      <c r="E243" s="9">
        <f t="shared" si="132"/>
        <v>0</v>
      </c>
      <c r="F243" s="8">
        <f t="shared" si="135"/>
        <v>0</v>
      </c>
      <c r="G243" s="8">
        <f t="shared" si="135"/>
        <v>0</v>
      </c>
      <c r="H243" s="8">
        <f t="shared" si="135"/>
        <v>0</v>
      </c>
      <c r="I243" s="8">
        <f t="shared" si="135"/>
        <v>0</v>
      </c>
      <c r="J243" s="8">
        <f t="shared" si="135"/>
        <v>0</v>
      </c>
    </row>
    <row r="244" spans="1:11" x14ac:dyDescent="0.25">
      <c r="A244" s="47"/>
      <c r="B244" s="47"/>
      <c r="C244" s="48"/>
      <c r="D244" s="33" t="s">
        <v>7</v>
      </c>
      <c r="E244" s="9">
        <f t="shared" si="132"/>
        <v>1927348.4</v>
      </c>
      <c r="F244" s="8">
        <f t="shared" si="135"/>
        <v>0</v>
      </c>
      <c r="G244" s="8">
        <f t="shared" si="135"/>
        <v>0</v>
      </c>
      <c r="H244" s="8">
        <f t="shared" si="135"/>
        <v>0</v>
      </c>
      <c r="I244" s="8">
        <f t="shared" si="135"/>
        <v>0</v>
      </c>
      <c r="J244" s="8">
        <f t="shared" si="135"/>
        <v>1927348.4</v>
      </c>
    </row>
    <row r="245" spans="1:11" s="25" customFormat="1" x14ac:dyDescent="0.25">
      <c r="A245" s="47" t="s">
        <v>16</v>
      </c>
      <c r="B245" s="47"/>
      <c r="C245" s="48"/>
      <c r="D245" s="34" t="s">
        <v>3</v>
      </c>
      <c r="E245" s="9">
        <f t="shared" si="132"/>
        <v>12874870.43558</v>
      </c>
      <c r="F245" s="9">
        <f t="shared" ref="F245:J245" si="136">ROUND(SUM(F246:F251),5)</f>
        <v>2445123.4032200002</v>
      </c>
      <c r="G245" s="9">
        <f t="shared" si="136"/>
        <v>2535862.05602</v>
      </c>
      <c r="H245" s="9">
        <f t="shared" ref="H245:I245" si="137">ROUND(SUM(H246:H251),5)</f>
        <v>2611567.6225100001</v>
      </c>
      <c r="I245" s="9">
        <f t="shared" si="137"/>
        <v>2612490.04287</v>
      </c>
      <c r="J245" s="9">
        <f t="shared" si="136"/>
        <v>2669827.3109599999</v>
      </c>
    </row>
    <row r="246" spans="1:11" x14ac:dyDescent="0.25">
      <c r="A246" s="47"/>
      <c r="B246" s="47"/>
      <c r="C246" s="48"/>
      <c r="D246" s="33" t="s">
        <v>4</v>
      </c>
      <c r="E246" s="8">
        <f t="shared" si="132"/>
        <v>212761.7</v>
      </c>
      <c r="F246" s="8">
        <f t="shared" ref="F246:J246" si="138">ROUND(F216-F239,5)</f>
        <v>51698.8</v>
      </c>
      <c r="G246" s="8">
        <f t="shared" si="138"/>
        <v>55322</v>
      </c>
      <c r="H246" s="8">
        <f t="shared" ref="H246:I246" si="139">ROUND(H216-H239,5)</f>
        <v>54333</v>
      </c>
      <c r="I246" s="8">
        <f t="shared" si="139"/>
        <v>51407.9</v>
      </c>
      <c r="J246" s="8">
        <f t="shared" si="138"/>
        <v>0</v>
      </c>
    </row>
    <row r="247" spans="1:11" ht="31.5" x14ac:dyDescent="0.25">
      <c r="A247" s="47"/>
      <c r="B247" s="47"/>
      <c r="C247" s="48"/>
      <c r="D247" s="33" t="s">
        <v>5</v>
      </c>
      <c r="E247" s="8">
        <f t="shared" si="132"/>
        <v>7426321.7999999998</v>
      </c>
      <c r="F247" s="8">
        <f t="shared" ref="F247:J251" si="140">ROUND(F217-F240,5)</f>
        <v>1760000.1</v>
      </c>
      <c r="G247" s="8">
        <f t="shared" si="140"/>
        <v>1809098</v>
      </c>
      <c r="H247" s="8">
        <f t="shared" ref="H247:I247" si="141">ROUND(H217-H240,5)</f>
        <v>1927097.4</v>
      </c>
      <c r="I247" s="8">
        <f t="shared" si="141"/>
        <v>1930126.3</v>
      </c>
      <c r="J247" s="8">
        <f t="shared" si="140"/>
        <v>0</v>
      </c>
    </row>
    <row r="248" spans="1:11" x14ac:dyDescent="0.25">
      <c r="A248" s="47"/>
      <c r="B248" s="47"/>
      <c r="C248" s="48"/>
      <c r="D248" s="33" t="s">
        <v>6</v>
      </c>
      <c r="E248" s="8">
        <f t="shared" si="132"/>
        <v>3377175.63986</v>
      </c>
      <c r="F248" s="8">
        <f t="shared" si="140"/>
        <v>619811.82889999996</v>
      </c>
      <c r="G248" s="8">
        <f t="shared" si="140"/>
        <v>400488.5</v>
      </c>
      <c r="H248" s="8">
        <f t="shared" ref="H248:I248" si="142">ROUND(H218-H241,5)</f>
        <v>383786.5</v>
      </c>
      <c r="I248" s="8">
        <f t="shared" si="142"/>
        <v>383786.5</v>
      </c>
      <c r="J248" s="8">
        <f t="shared" si="140"/>
        <v>1589302.3109599999</v>
      </c>
      <c r="K248" s="35"/>
    </row>
    <row r="249" spans="1:11" ht="31.5" x14ac:dyDescent="0.25">
      <c r="A249" s="47"/>
      <c r="B249" s="47"/>
      <c r="C249" s="48"/>
      <c r="D249" s="33" t="s">
        <v>8</v>
      </c>
      <c r="E249" s="8">
        <f t="shared" si="132"/>
        <v>0</v>
      </c>
      <c r="F249" s="8">
        <f t="shared" si="140"/>
        <v>0</v>
      </c>
      <c r="G249" s="8">
        <f t="shared" si="140"/>
        <v>0</v>
      </c>
      <c r="H249" s="8">
        <f t="shared" ref="H249:I249" si="143">ROUND(H219-H242,5)</f>
        <v>0</v>
      </c>
      <c r="I249" s="8">
        <f t="shared" si="143"/>
        <v>0</v>
      </c>
      <c r="J249" s="8">
        <f t="shared" si="140"/>
        <v>0</v>
      </c>
    </row>
    <row r="250" spans="1:11" x14ac:dyDescent="0.25">
      <c r="A250" s="47"/>
      <c r="B250" s="47"/>
      <c r="C250" s="48"/>
      <c r="D250" s="33" t="s">
        <v>18</v>
      </c>
      <c r="E250" s="8">
        <f t="shared" si="132"/>
        <v>0</v>
      </c>
      <c r="F250" s="8">
        <f t="shared" si="140"/>
        <v>0</v>
      </c>
      <c r="G250" s="8">
        <f t="shared" si="140"/>
        <v>0</v>
      </c>
      <c r="H250" s="8">
        <f t="shared" ref="H250:I250" si="144">ROUND(H220-H243,5)</f>
        <v>0</v>
      </c>
      <c r="I250" s="8">
        <f t="shared" si="144"/>
        <v>0</v>
      </c>
      <c r="J250" s="8">
        <f t="shared" si="140"/>
        <v>0</v>
      </c>
    </row>
    <row r="251" spans="1:11" x14ac:dyDescent="0.25">
      <c r="A251" s="47"/>
      <c r="B251" s="47"/>
      <c r="C251" s="48"/>
      <c r="D251" s="33" t="s">
        <v>7</v>
      </c>
      <c r="E251" s="8">
        <f t="shared" si="132"/>
        <v>1858611.2957200001</v>
      </c>
      <c r="F251" s="8">
        <f t="shared" si="140"/>
        <v>13612.67432</v>
      </c>
      <c r="G251" s="8">
        <f t="shared" si="140"/>
        <v>270953.55602000002</v>
      </c>
      <c r="H251" s="8">
        <f t="shared" ref="H251:I251" si="145">ROUND(H221-H244,5)</f>
        <v>246350.72250999999</v>
      </c>
      <c r="I251" s="8">
        <f t="shared" si="145"/>
        <v>247169.34286999999</v>
      </c>
      <c r="J251" s="8">
        <f t="shared" si="140"/>
        <v>1080525</v>
      </c>
    </row>
    <row r="252" spans="1:11" x14ac:dyDescent="0.25">
      <c r="A252" s="47" t="s">
        <v>14</v>
      </c>
      <c r="B252" s="47"/>
      <c r="C252" s="45"/>
      <c r="D252" s="33"/>
      <c r="E252" s="8"/>
      <c r="F252" s="8"/>
      <c r="G252" s="8"/>
      <c r="H252" s="8"/>
      <c r="I252" s="8"/>
      <c r="J252" s="8"/>
    </row>
    <row r="253" spans="1:11" s="25" customFormat="1" x14ac:dyDescent="0.25">
      <c r="A253" s="47" t="s">
        <v>83</v>
      </c>
      <c r="B253" s="47"/>
      <c r="C253" s="48"/>
      <c r="D253" s="34" t="s">
        <v>3</v>
      </c>
      <c r="E253" s="9">
        <f t="shared" ref="E253:E280" si="146">ROUND(SUM(F253:J253),5)</f>
        <v>12746216.784560001</v>
      </c>
      <c r="F253" s="9">
        <f t="shared" ref="F253:J253" si="147">ROUND(SUM(F254:F259),5)</f>
        <v>2408894.7522</v>
      </c>
      <c r="G253" s="9">
        <f t="shared" si="147"/>
        <v>2535762.05602</v>
      </c>
      <c r="H253" s="9">
        <f t="shared" ref="H253:I253" si="148">ROUND(SUM(H254:H259),5)</f>
        <v>2611467.6225100001</v>
      </c>
      <c r="I253" s="9">
        <f t="shared" si="148"/>
        <v>2612390.04287</v>
      </c>
      <c r="J253" s="9">
        <f t="shared" si="147"/>
        <v>2577702.3109599999</v>
      </c>
    </row>
    <row r="254" spans="1:11" x14ac:dyDescent="0.25">
      <c r="A254" s="47"/>
      <c r="B254" s="47"/>
      <c r="C254" s="48"/>
      <c r="D254" s="33" t="s">
        <v>4</v>
      </c>
      <c r="E254" s="8">
        <f t="shared" si="146"/>
        <v>212761.7</v>
      </c>
      <c r="F254" s="8">
        <f t="shared" ref="F254:J258" si="149">ROUND(F95+F131+F153+F160+F188-F88,5)</f>
        <v>51698.8</v>
      </c>
      <c r="G254" s="8">
        <f t="shared" si="149"/>
        <v>55322</v>
      </c>
      <c r="H254" s="8">
        <f t="shared" si="149"/>
        <v>54333</v>
      </c>
      <c r="I254" s="8">
        <f t="shared" si="149"/>
        <v>51407.9</v>
      </c>
      <c r="J254" s="8">
        <f t="shared" si="149"/>
        <v>0</v>
      </c>
    </row>
    <row r="255" spans="1:11" ht="31.5" x14ac:dyDescent="0.25">
      <c r="A255" s="47"/>
      <c r="B255" s="47"/>
      <c r="C255" s="48"/>
      <c r="D255" s="33" t="s">
        <v>5</v>
      </c>
      <c r="E255" s="8">
        <f t="shared" si="146"/>
        <v>7426321.7999999998</v>
      </c>
      <c r="F255" s="8">
        <f t="shared" si="149"/>
        <v>1760000.1</v>
      </c>
      <c r="G255" s="8">
        <f t="shared" si="149"/>
        <v>1809098</v>
      </c>
      <c r="H255" s="8">
        <f t="shared" si="149"/>
        <v>1927097.4</v>
      </c>
      <c r="I255" s="8">
        <f t="shared" si="149"/>
        <v>1930126.3</v>
      </c>
      <c r="J255" s="8">
        <f t="shared" si="149"/>
        <v>0</v>
      </c>
    </row>
    <row r="256" spans="1:11" x14ac:dyDescent="0.25">
      <c r="A256" s="47"/>
      <c r="B256" s="47"/>
      <c r="C256" s="48"/>
      <c r="D256" s="33" t="s">
        <v>6</v>
      </c>
      <c r="E256" s="8">
        <f>ROUND(SUM(F256:J256),5)</f>
        <v>3340246.9888399998</v>
      </c>
      <c r="F256" s="8">
        <f>ROUND(F97+F133+F155+F162+F190+F204-F90,5)</f>
        <v>583583.17787999997</v>
      </c>
      <c r="G256" s="8">
        <f t="shared" si="149"/>
        <v>400388.5</v>
      </c>
      <c r="H256" s="8">
        <f t="shared" si="149"/>
        <v>383686.5</v>
      </c>
      <c r="I256" s="8">
        <f t="shared" si="149"/>
        <v>383686.5</v>
      </c>
      <c r="J256" s="8">
        <f t="shared" si="149"/>
        <v>1588902.3109599999</v>
      </c>
    </row>
    <row r="257" spans="1:10" ht="31.5" x14ac:dyDescent="0.25">
      <c r="A257" s="47"/>
      <c r="B257" s="47"/>
      <c r="C257" s="48"/>
      <c r="D257" s="33" t="s">
        <v>8</v>
      </c>
      <c r="E257" s="8">
        <f t="shared" si="146"/>
        <v>0</v>
      </c>
      <c r="F257" s="8">
        <f t="shared" si="149"/>
        <v>0</v>
      </c>
      <c r="G257" s="8">
        <f t="shared" si="149"/>
        <v>0</v>
      </c>
      <c r="H257" s="8">
        <f t="shared" si="149"/>
        <v>0</v>
      </c>
      <c r="I257" s="8">
        <f t="shared" si="149"/>
        <v>0</v>
      </c>
      <c r="J257" s="8">
        <f t="shared" si="149"/>
        <v>0</v>
      </c>
    </row>
    <row r="258" spans="1:10" x14ac:dyDescent="0.25">
      <c r="A258" s="47"/>
      <c r="B258" s="47"/>
      <c r="C258" s="48"/>
      <c r="D258" s="33" t="s">
        <v>18</v>
      </c>
      <c r="E258" s="8">
        <f t="shared" si="146"/>
        <v>0</v>
      </c>
      <c r="F258" s="8">
        <f t="shared" si="149"/>
        <v>0</v>
      </c>
      <c r="G258" s="8">
        <f t="shared" si="149"/>
        <v>0</v>
      </c>
      <c r="H258" s="8">
        <f t="shared" si="149"/>
        <v>0</v>
      </c>
      <c r="I258" s="8">
        <f t="shared" si="149"/>
        <v>0</v>
      </c>
      <c r="J258" s="8">
        <f t="shared" si="149"/>
        <v>0</v>
      </c>
    </row>
    <row r="259" spans="1:10" x14ac:dyDescent="0.25">
      <c r="A259" s="47"/>
      <c r="B259" s="47"/>
      <c r="C259" s="48"/>
      <c r="D259" s="33" t="s">
        <v>7</v>
      </c>
      <c r="E259" s="8">
        <f t="shared" si="146"/>
        <v>1766886.2957200001</v>
      </c>
      <c r="F259" s="8">
        <f>ROUND(F100+F136+F158+F165+F193+F207,5)</f>
        <v>13612.67432</v>
      </c>
      <c r="G259" s="8">
        <f t="shared" ref="G259:I259" si="150">ROUND(G100+G136+G158+G165+G193+G207,5)</f>
        <v>270953.55602000002</v>
      </c>
      <c r="H259" s="8">
        <f t="shared" si="150"/>
        <v>246350.72250999999</v>
      </c>
      <c r="I259" s="8">
        <f t="shared" si="150"/>
        <v>247169.34286999999</v>
      </c>
      <c r="J259" s="8">
        <f>ROUND(J100+J136+J158+J165+J193+J207,5)</f>
        <v>988800</v>
      </c>
    </row>
    <row r="260" spans="1:10" s="25" customFormat="1" ht="12.75" customHeight="1" x14ac:dyDescent="0.25">
      <c r="A260" s="47" t="s">
        <v>71</v>
      </c>
      <c r="B260" s="47"/>
      <c r="C260" s="48"/>
      <c r="D260" s="34" t="s">
        <v>3</v>
      </c>
      <c r="E260" s="9">
        <f t="shared" si="146"/>
        <v>2269351.8510199999</v>
      </c>
      <c r="F260" s="9">
        <f t="shared" ref="F260:J260" si="151">ROUND(SUM(F261:F266),5)</f>
        <v>36128.651019999998</v>
      </c>
      <c r="G260" s="9">
        <f t="shared" si="151"/>
        <v>0</v>
      </c>
      <c r="H260" s="9">
        <f t="shared" ref="H260:I260" si="152">ROUND(SUM(H261:H266),5)</f>
        <v>0</v>
      </c>
      <c r="I260" s="9">
        <f t="shared" si="152"/>
        <v>0</v>
      </c>
      <c r="J260" s="9">
        <f t="shared" si="151"/>
        <v>2233223.2000000002</v>
      </c>
    </row>
    <row r="261" spans="1:10" x14ac:dyDescent="0.25">
      <c r="A261" s="47"/>
      <c r="B261" s="47"/>
      <c r="C261" s="48"/>
      <c r="D261" s="33" t="s">
        <v>4</v>
      </c>
      <c r="E261" s="8">
        <f t="shared" si="146"/>
        <v>0</v>
      </c>
      <c r="F261" s="8">
        <f t="shared" ref="F261:J265" si="153">ROUND(F146+F174+F202,5)</f>
        <v>0</v>
      </c>
      <c r="G261" s="8">
        <f t="shared" si="153"/>
        <v>0</v>
      </c>
      <c r="H261" s="8">
        <f t="shared" si="153"/>
        <v>0</v>
      </c>
      <c r="I261" s="8">
        <f t="shared" si="153"/>
        <v>0</v>
      </c>
      <c r="J261" s="8">
        <f t="shared" si="153"/>
        <v>0</v>
      </c>
    </row>
    <row r="262" spans="1:10" ht="31.5" x14ac:dyDescent="0.25">
      <c r="A262" s="47"/>
      <c r="B262" s="47"/>
      <c r="C262" s="48"/>
      <c r="D262" s="33" t="s">
        <v>5</v>
      </c>
      <c r="E262" s="8">
        <f t="shared" si="146"/>
        <v>0</v>
      </c>
      <c r="F262" s="8">
        <f t="shared" si="153"/>
        <v>0</v>
      </c>
      <c r="G262" s="8">
        <f t="shared" si="153"/>
        <v>0</v>
      </c>
      <c r="H262" s="8">
        <f t="shared" si="153"/>
        <v>0</v>
      </c>
      <c r="I262" s="8">
        <f t="shared" si="153"/>
        <v>0</v>
      </c>
      <c r="J262" s="8">
        <f t="shared" si="153"/>
        <v>0</v>
      </c>
    </row>
    <row r="263" spans="1:10" x14ac:dyDescent="0.25">
      <c r="A263" s="47"/>
      <c r="B263" s="47"/>
      <c r="C263" s="48"/>
      <c r="D263" s="33" t="s">
        <v>6</v>
      </c>
      <c r="E263" s="8">
        <f t="shared" si="146"/>
        <v>250278.45102000001</v>
      </c>
      <c r="F263" s="8">
        <f>ROUND(F148+F176+F197,5)</f>
        <v>36128.651019999998</v>
      </c>
      <c r="G263" s="8">
        <f t="shared" si="153"/>
        <v>0</v>
      </c>
      <c r="H263" s="8">
        <f t="shared" si="153"/>
        <v>0</v>
      </c>
      <c r="I263" s="8">
        <f t="shared" si="153"/>
        <v>0</v>
      </c>
      <c r="J263" s="8">
        <f t="shared" si="153"/>
        <v>214149.8</v>
      </c>
    </row>
    <row r="264" spans="1:10" ht="31.5" x14ac:dyDescent="0.25">
      <c r="A264" s="47"/>
      <c r="B264" s="47"/>
      <c r="C264" s="48"/>
      <c r="D264" s="33" t="s">
        <v>8</v>
      </c>
      <c r="E264" s="8">
        <f t="shared" si="146"/>
        <v>0</v>
      </c>
      <c r="F264" s="8">
        <f t="shared" si="153"/>
        <v>0</v>
      </c>
      <c r="G264" s="8">
        <f t="shared" si="153"/>
        <v>0</v>
      </c>
      <c r="H264" s="8">
        <f t="shared" si="153"/>
        <v>0</v>
      </c>
      <c r="I264" s="8">
        <f t="shared" si="153"/>
        <v>0</v>
      </c>
      <c r="J264" s="8">
        <f t="shared" si="153"/>
        <v>0</v>
      </c>
    </row>
    <row r="265" spans="1:10" x14ac:dyDescent="0.25">
      <c r="A265" s="47"/>
      <c r="B265" s="47"/>
      <c r="C265" s="48"/>
      <c r="D265" s="33" t="s">
        <v>18</v>
      </c>
      <c r="E265" s="8">
        <f t="shared" si="146"/>
        <v>0</v>
      </c>
      <c r="F265" s="8">
        <f t="shared" si="153"/>
        <v>0</v>
      </c>
      <c r="G265" s="8">
        <f t="shared" si="153"/>
        <v>0</v>
      </c>
      <c r="H265" s="8">
        <f t="shared" si="153"/>
        <v>0</v>
      </c>
      <c r="I265" s="8">
        <f t="shared" si="153"/>
        <v>0</v>
      </c>
      <c r="J265" s="8">
        <f t="shared" si="153"/>
        <v>0</v>
      </c>
    </row>
    <row r="266" spans="1:10" x14ac:dyDescent="0.25">
      <c r="A266" s="47"/>
      <c r="B266" s="47"/>
      <c r="C266" s="48"/>
      <c r="D266" s="33" t="s">
        <v>7</v>
      </c>
      <c r="E266" s="8">
        <f t="shared" si="146"/>
        <v>2019073.4</v>
      </c>
      <c r="F266" s="8">
        <f>ROUND(F151+F179+F200,5)</f>
        <v>0</v>
      </c>
      <c r="G266" s="8">
        <f>ROUND(G151+G179+G200,5)</f>
        <v>0</v>
      </c>
      <c r="H266" s="8">
        <f t="shared" ref="H266:I266" si="154">ROUND(H151+H179+H200,5)</f>
        <v>0</v>
      </c>
      <c r="I266" s="8">
        <f t="shared" si="154"/>
        <v>0</v>
      </c>
      <c r="J266" s="8">
        <f>ROUND(J151+J179+J200,5)</f>
        <v>2019073.4</v>
      </c>
    </row>
    <row r="267" spans="1:10" s="25" customFormat="1" x14ac:dyDescent="0.25">
      <c r="A267" s="47" t="s">
        <v>49</v>
      </c>
      <c r="B267" s="47"/>
      <c r="C267" s="48"/>
      <c r="D267" s="34" t="s">
        <v>3</v>
      </c>
      <c r="E267" s="9">
        <f t="shared" si="146"/>
        <v>0</v>
      </c>
      <c r="F267" s="9">
        <f t="shared" ref="F267:J267" si="155">ROUND(SUM(F268:F273),5)</f>
        <v>0</v>
      </c>
      <c r="G267" s="9">
        <f t="shared" si="155"/>
        <v>0</v>
      </c>
      <c r="H267" s="9">
        <f t="shared" ref="H267:I267" si="156">ROUND(SUM(H268:H273),5)</f>
        <v>0</v>
      </c>
      <c r="I267" s="9">
        <f t="shared" si="156"/>
        <v>0</v>
      </c>
      <c r="J267" s="9">
        <f t="shared" si="155"/>
        <v>0</v>
      </c>
    </row>
    <row r="268" spans="1:10" x14ac:dyDescent="0.25">
      <c r="A268" s="47"/>
      <c r="B268" s="47"/>
      <c r="C268" s="48"/>
      <c r="D268" s="33" t="s">
        <v>4</v>
      </c>
      <c r="E268" s="8">
        <f t="shared" si="146"/>
        <v>0</v>
      </c>
      <c r="F268" s="36">
        <f t="shared" ref="F268:J273" si="157">ROUND(F181,5)</f>
        <v>0</v>
      </c>
      <c r="G268" s="36">
        <f t="shared" si="157"/>
        <v>0</v>
      </c>
      <c r="H268" s="36">
        <f t="shared" si="157"/>
        <v>0</v>
      </c>
      <c r="I268" s="36">
        <f t="shared" si="157"/>
        <v>0</v>
      </c>
      <c r="J268" s="36">
        <f t="shared" si="157"/>
        <v>0</v>
      </c>
    </row>
    <row r="269" spans="1:10" ht="31.5" x14ac:dyDescent="0.25">
      <c r="A269" s="47"/>
      <c r="B269" s="47"/>
      <c r="C269" s="48"/>
      <c r="D269" s="33" t="s">
        <v>5</v>
      </c>
      <c r="E269" s="8">
        <f t="shared" si="146"/>
        <v>0</v>
      </c>
      <c r="F269" s="36">
        <f t="shared" si="157"/>
        <v>0</v>
      </c>
      <c r="G269" s="36">
        <f t="shared" si="157"/>
        <v>0</v>
      </c>
      <c r="H269" s="36">
        <f t="shared" si="157"/>
        <v>0</v>
      </c>
      <c r="I269" s="36">
        <f t="shared" si="157"/>
        <v>0</v>
      </c>
      <c r="J269" s="36">
        <f t="shared" si="157"/>
        <v>0</v>
      </c>
    </row>
    <row r="270" spans="1:10" x14ac:dyDescent="0.25">
      <c r="A270" s="47"/>
      <c r="B270" s="47"/>
      <c r="C270" s="48"/>
      <c r="D270" s="33" t="s">
        <v>6</v>
      </c>
      <c r="E270" s="8">
        <f t="shared" si="146"/>
        <v>0</v>
      </c>
      <c r="F270" s="36">
        <f t="shared" si="157"/>
        <v>0</v>
      </c>
      <c r="G270" s="36">
        <f t="shared" si="157"/>
        <v>0</v>
      </c>
      <c r="H270" s="36">
        <f t="shared" si="157"/>
        <v>0</v>
      </c>
      <c r="I270" s="36">
        <f t="shared" si="157"/>
        <v>0</v>
      </c>
      <c r="J270" s="36">
        <f t="shared" si="157"/>
        <v>0</v>
      </c>
    </row>
    <row r="271" spans="1:10" ht="31.5" x14ac:dyDescent="0.25">
      <c r="A271" s="47"/>
      <c r="B271" s="47"/>
      <c r="C271" s="48"/>
      <c r="D271" s="33" t="s">
        <v>8</v>
      </c>
      <c r="E271" s="8">
        <f t="shared" si="146"/>
        <v>0</v>
      </c>
      <c r="F271" s="36">
        <f t="shared" si="157"/>
        <v>0</v>
      </c>
      <c r="G271" s="36">
        <f t="shared" si="157"/>
        <v>0</v>
      </c>
      <c r="H271" s="36">
        <f t="shared" si="157"/>
        <v>0</v>
      </c>
      <c r="I271" s="36">
        <f t="shared" si="157"/>
        <v>0</v>
      </c>
      <c r="J271" s="36">
        <f t="shared" si="157"/>
        <v>0</v>
      </c>
    </row>
    <row r="272" spans="1:10" x14ac:dyDescent="0.25">
      <c r="A272" s="47"/>
      <c r="B272" s="47"/>
      <c r="C272" s="48"/>
      <c r="D272" s="33" t="s">
        <v>18</v>
      </c>
      <c r="E272" s="8">
        <f t="shared" si="146"/>
        <v>0</v>
      </c>
      <c r="F272" s="36">
        <f t="shared" si="157"/>
        <v>0</v>
      </c>
      <c r="G272" s="36">
        <f t="shared" si="157"/>
        <v>0</v>
      </c>
      <c r="H272" s="36">
        <f t="shared" si="157"/>
        <v>0</v>
      </c>
      <c r="I272" s="36">
        <f t="shared" si="157"/>
        <v>0</v>
      </c>
      <c r="J272" s="36">
        <f t="shared" si="157"/>
        <v>0</v>
      </c>
    </row>
    <row r="273" spans="1:10" x14ac:dyDescent="0.25">
      <c r="A273" s="47"/>
      <c r="B273" s="47"/>
      <c r="C273" s="48"/>
      <c r="D273" s="33" t="s">
        <v>19</v>
      </c>
      <c r="E273" s="8">
        <f t="shared" si="146"/>
        <v>0</v>
      </c>
      <c r="F273" s="36">
        <f t="shared" si="157"/>
        <v>0</v>
      </c>
      <c r="G273" s="36">
        <f t="shared" si="157"/>
        <v>0</v>
      </c>
      <c r="H273" s="36">
        <f t="shared" si="157"/>
        <v>0</v>
      </c>
      <c r="I273" s="36">
        <f t="shared" si="157"/>
        <v>0</v>
      </c>
      <c r="J273" s="36">
        <f t="shared" si="157"/>
        <v>0</v>
      </c>
    </row>
    <row r="274" spans="1:10" s="25" customFormat="1" x14ac:dyDescent="0.25">
      <c r="A274" s="47" t="s">
        <v>48</v>
      </c>
      <c r="B274" s="47"/>
      <c r="C274" s="48"/>
      <c r="D274" s="34" t="s">
        <v>3</v>
      </c>
      <c r="E274" s="9">
        <f t="shared" si="146"/>
        <v>800</v>
      </c>
      <c r="F274" s="9">
        <f t="shared" ref="F274:J274" si="158">ROUND(SUM(F275:F280),5)</f>
        <v>100</v>
      </c>
      <c r="G274" s="9">
        <f t="shared" si="158"/>
        <v>100</v>
      </c>
      <c r="H274" s="9">
        <f t="shared" ref="H274:I274" si="159">ROUND(SUM(H275:H280),5)</f>
        <v>100</v>
      </c>
      <c r="I274" s="9">
        <f t="shared" si="159"/>
        <v>100</v>
      </c>
      <c r="J274" s="9">
        <f t="shared" si="158"/>
        <v>400</v>
      </c>
    </row>
    <row r="275" spans="1:10" x14ac:dyDescent="0.25">
      <c r="A275" s="47"/>
      <c r="B275" s="47"/>
      <c r="C275" s="48"/>
      <c r="D275" s="33" t="s">
        <v>4</v>
      </c>
      <c r="E275" s="8">
        <f t="shared" si="146"/>
        <v>0</v>
      </c>
      <c r="F275" s="37">
        <f t="shared" ref="F275:J275" si="160">F88</f>
        <v>0</v>
      </c>
      <c r="G275" s="37">
        <f t="shared" si="160"/>
        <v>0</v>
      </c>
      <c r="H275" s="37">
        <f t="shared" ref="H275:I275" si="161">H88</f>
        <v>0</v>
      </c>
      <c r="I275" s="37">
        <f t="shared" si="161"/>
        <v>0</v>
      </c>
      <c r="J275" s="37">
        <f t="shared" si="160"/>
        <v>0</v>
      </c>
    </row>
    <row r="276" spans="1:10" ht="31.5" x14ac:dyDescent="0.25">
      <c r="A276" s="47"/>
      <c r="B276" s="47"/>
      <c r="C276" s="48"/>
      <c r="D276" s="33" t="s">
        <v>5</v>
      </c>
      <c r="E276" s="8">
        <f t="shared" si="146"/>
        <v>0</v>
      </c>
      <c r="F276" s="37">
        <f t="shared" ref="F276:J280" si="162">F89</f>
        <v>0</v>
      </c>
      <c r="G276" s="37">
        <f t="shared" si="162"/>
        <v>0</v>
      </c>
      <c r="H276" s="37">
        <f t="shared" ref="H276:I276" si="163">H89</f>
        <v>0</v>
      </c>
      <c r="I276" s="37">
        <f t="shared" si="163"/>
        <v>0</v>
      </c>
      <c r="J276" s="37">
        <f t="shared" si="162"/>
        <v>0</v>
      </c>
    </row>
    <row r="277" spans="1:10" x14ac:dyDescent="0.25">
      <c r="A277" s="47"/>
      <c r="B277" s="47"/>
      <c r="C277" s="48"/>
      <c r="D277" s="33" t="s">
        <v>6</v>
      </c>
      <c r="E277" s="8">
        <f t="shared" si="146"/>
        <v>800</v>
      </c>
      <c r="F277" s="36">
        <f t="shared" si="162"/>
        <v>100</v>
      </c>
      <c r="G277" s="36">
        <f t="shared" si="162"/>
        <v>100</v>
      </c>
      <c r="H277" s="36">
        <f t="shared" ref="H277:I277" si="164">H90</f>
        <v>100</v>
      </c>
      <c r="I277" s="36">
        <f t="shared" si="164"/>
        <v>100</v>
      </c>
      <c r="J277" s="36">
        <f t="shared" si="162"/>
        <v>400</v>
      </c>
    </row>
    <row r="278" spans="1:10" ht="31.5" x14ac:dyDescent="0.25">
      <c r="A278" s="47"/>
      <c r="B278" s="47"/>
      <c r="C278" s="48"/>
      <c r="D278" s="33" t="s">
        <v>8</v>
      </c>
      <c r="E278" s="8">
        <f t="shared" si="146"/>
        <v>0</v>
      </c>
      <c r="F278" s="37">
        <f t="shared" si="162"/>
        <v>0</v>
      </c>
      <c r="G278" s="37">
        <f t="shared" si="162"/>
        <v>0</v>
      </c>
      <c r="H278" s="37">
        <f t="shared" ref="H278:I278" si="165">H91</f>
        <v>0</v>
      </c>
      <c r="I278" s="37">
        <f t="shared" si="165"/>
        <v>0</v>
      </c>
      <c r="J278" s="37">
        <f t="shared" si="162"/>
        <v>0</v>
      </c>
    </row>
    <row r="279" spans="1:10" x14ac:dyDescent="0.25">
      <c r="A279" s="47"/>
      <c r="B279" s="47"/>
      <c r="C279" s="48"/>
      <c r="D279" s="33" t="s">
        <v>18</v>
      </c>
      <c r="E279" s="8">
        <f t="shared" si="146"/>
        <v>0</v>
      </c>
      <c r="F279" s="37">
        <f t="shared" si="162"/>
        <v>0</v>
      </c>
      <c r="G279" s="37">
        <f t="shared" si="162"/>
        <v>0</v>
      </c>
      <c r="H279" s="37">
        <f t="shared" ref="H279:I279" si="166">H92</f>
        <v>0</v>
      </c>
      <c r="I279" s="37">
        <f t="shared" si="166"/>
        <v>0</v>
      </c>
      <c r="J279" s="37">
        <f t="shared" si="162"/>
        <v>0</v>
      </c>
    </row>
    <row r="280" spans="1:10" x14ac:dyDescent="0.25">
      <c r="A280" s="47"/>
      <c r="B280" s="47"/>
      <c r="C280" s="48"/>
      <c r="D280" s="33" t="s">
        <v>19</v>
      </c>
      <c r="E280" s="8">
        <f t="shared" si="146"/>
        <v>0</v>
      </c>
      <c r="F280" s="37">
        <f t="shared" si="162"/>
        <v>0</v>
      </c>
      <c r="G280" s="37">
        <f t="shared" si="162"/>
        <v>0</v>
      </c>
      <c r="H280" s="37">
        <f t="shared" ref="H280:I280" si="167">H93</f>
        <v>0</v>
      </c>
      <c r="I280" s="37">
        <f t="shared" si="167"/>
        <v>0</v>
      </c>
      <c r="J280" s="37">
        <f t="shared" si="162"/>
        <v>0</v>
      </c>
    </row>
    <row r="282" spans="1:10" x14ac:dyDescent="0.25">
      <c r="E282" s="41"/>
      <c r="F282" s="41"/>
      <c r="G282" s="41"/>
      <c r="H282" s="41"/>
      <c r="I282" s="41"/>
      <c r="J282" s="41"/>
    </row>
  </sheetData>
  <autoFilter ref="A4:J273" xr:uid="{00000000-0009-0000-0000-000000000000}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113">
    <mergeCell ref="C130:C136"/>
    <mergeCell ref="A130:A136"/>
    <mergeCell ref="B130:B136"/>
    <mergeCell ref="A109:A115"/>
    <mergeCell ref="A102:A108"/>
    <mergeCell ref="B102:B108"/>
    <mergeCell ref="C173:C179"/>
    <mergeCell ref="C187:C193"/>
    <mergeCell ref="A187:A193"/>
    <mergeCell ref="B187:B193"/>
    <mergeCell ref="C180:C186"/>
    <mergeCell ref="A1:J1"/>
    <mergeCell ref="A2:J2"/>
    <mergeCell ref="B24:B30"/>
    <mergeCell ref="D4:D7"/>
    <mergeCell ref="E4:J4"/>
    <mergeCell ref="C4:C7"/>
    <mergeCell ref="A4:A7"/>
    <mergeCell ref="C24:C30"/>
    <mergeCell ref="B4:B7"/>
    <mergeCell ref="A9:J9"/>
    <mergeCell ref="A24:A30"/>
    <mergeCell ref="F6:J6"/>
    <mergeCell ref="C10:C16"/>
    <mergeCell ref="E6:E7"/>
    <mergeCell ref="E5:J5"/>
    <mergeCell ref="A10:A16"/>
    <mergeCell ref="B17:B23"/>
    <mergeCell ref="A17:A23"/>
    <mergeCell ref="C17:C23"/>
    <mergeCell ref="A59:A65"/>
    <mergeCell ref="B59:B65"/>
    <mergeCell ref="C59:C65"/>
    <mergeCell ref="A201:A207"/>
    <mergeCell ref="A152:A158"/>
    <mergeCell ref="B152:B158"/>
    <mergeCell ref="C152:C158"/>
    <mergeCell ref="B10:B16"/>
    <mergeCell ref="A31:A37"/>
    <mergeCell ref="C31:C37"/>
    <mergeCell ref="B31:B37"/>
    <mergeCell ref="A94:A100"/>
    <mergeCell ref="B94:B100"/>
    <mergeCell ref="C94:C100"/>
    <mergeCell ref="A38:A44"/>
    <mergeCell ref="B38:B44"/>
    <mergeCell ref="C38:C44"/>
    <mergeCell ref="A45:A51"/>
    <mergeCell ref="B45:B51"/>
    <mergeCell ref="C45:C51"/>
    <mergeCell ref="A52:A58"/>
    <mergeCell ref="B52:B58"/>
    <mergeCell ref="C52:C58"/>
    <mergeCell ref="B66:B72"/>
    <mergeCell ref="C66:C72"/>
    <mergeCell ref="A66:A72"/>
    <mergeCell ref="C73:C79"/>
    <mergeCell ref="A253:B259"/>
    <mergeCell ref="B208:B214"/>
    <mergeCell ref="C253:C259"/>
    <mergeCell ref="C238:C244"/>
    <mergeCell ref="C208:C214"/>
    <mergeCell ref="A208:A214"/>
    <mergeCell ref="A238:B244"/>
    <mergeCell ref="A222:B222"/>
    <mergeCell ref="A194:A200"/>
    <mergeCell ref="B194:B200"/>
    <mergeCell ref="C194:C200"/>
    <mergeCell ref="A101:J101"/>
    <mergeCell ref="A137:J137"/>
    <mergeCell ref="A116:A122"/>
    <mergeCell ref="B116:B122"/>
    <mergeCell ref="C116:C122"/>
    <mergeCell ref="C109:C115"/>
    <mergeCell ref="B109:B115"/>
    <mergeCell ref="A123:A129"/>
    <mergeCell ref="B123:B129"/>
    <mergeCell ref="C123:C129"/>
    <mergeCell ref="C260:C266"/>
    <mergeCell ref="C245:C251"/>
    <mergeCell ref="A252:B252"/>
    <mergeCell ref="A215:B221"/>
    <mergeCell ref="C215:C221"/>
    <mergeCell ref="A245:B251"/>
    <mergeCell ref="A223:B229"/>
    <mergeCell ref="C223:C229"/>
    <mergeCell ref="A230:B236"/>
    <mergeCell ref="C230:C236"/>
    <mergeCell ref="A237:B237"/>
    <mergeCell ref="A274:B280"/>
    <mergeCell ref="C274:C280"/>
    <mergeCell ref="C80:C86"/>
    <mergeCell ref="C87:C93"/>
    <mergeCell ref="B73:B93"/>
    <mergeCell ref="A73:A93"/>
    <mergeCell ref="C201:C207"/>
    <mergeCell ref="A166:A186"/>
    <mergeCell ref="B166:B186"/>
    <mergeCell ref="B201:B207"/>
    <mergeCell ref="A145:A151"/>
    <mergeCell ref="B145:B151"/>
    <mergeCell ref="C145:C151"/>
    <mergeCell ref="A138:A144"/>
    <mergeCell ref="B138:B144"/>
    <mergeCell ref="C138:C144"/>
    <mergeCell ref="C166:C172"/>
    <mergeCell ref="C159:C165"/>
    <mergeCell ref="B159:B165"/>
    <mergeCell ref="A159:A165"/>
    <mergeCell ref="C102:C108"/>
    <mergeCell ref="A267:B273"/>
    <mergeCell ref="C267:C273"/>
    <mergeCell ref="A260:B266"/>
  </mergeCells>
  <phoneticPr fontId="2" type="noConversion"/>
  <pageMargins left="0.15748031496062992" right="0.15748031496062992" top="0.74803149606299213" bottom="0.31496062992125984" header="0.31496062992125984" footer="0.31496062992125984"/>
  <pageSetup paperSize="9" scale="63" fitToHeight="9" orientation="landscape" r:id="rId1"/>
  <rowBreaks count="8" manualBreakCount="8">
    <brk id="37" max="9" man="1"/>
    <brk id="65" max="9" man="1"/>
    <brk id="93" max="9" man="1"/>
    <brk id="122" max="9" man="1"/>
    <brk id="151" max="9" man="1"/>
    <brk id="186" max="9" man="1"/>
    <brk id="214" max="9" man="1"/>
    <brk id="2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2023-2030</vt:lpstr>
      <vt:lpstr>'2023-2030'!Заголовки_для_печати</vt:lpstr>
      <vt:lpstr>'2023-2030'!Область_печати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Лукашева Лариса Александровна</cp:lastModifiedBy>
  <cp:lastPrinted>2023-12-26T07:52:47Z</cp:lastPrinted>
  <dcterms:created xsi:type="dcterms:W3CDTF">2016-07-20T07:20:43Z</dcterms:created>
  <dcterms:modified xsi:type="dcterms:W3CDTF">2023-12-26T07:53:06Z</dcterms:modified>
</cp:coreProperties>
</file>