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komku\Desktop\МУНИЦИПАЛЬН.ПРОГР+КОМПЛ.ПЛАНЫ\##МУНИЦИПАЛЬНАЯ ПРОГРАММА СПОРТ\МП 2024 год\4. Изменения по РД № ......от 20.12.2024\В Дело 16.12.2024\"/>
    </mc:Choice>
  </mc:AlternateContent>
  <bookViews>
    <workbookView xWindow="-120" yWindow="-120" windowWidth="29040" windowHeight="15840"/>
  </bookViews>
  <sheets>
    <sheet name="таблица 2" sheetId="7" r:id="rId1"/>
    <sheet name="таблица 3" sheetId="6" r:id="rId2"/>
    <sheet name="таблица 4" sheetId="5" r:id="rId3"/>
    <sheet name="Таблица 5" sheetId="4" r:id="rId4"/>
    <sheet name="Таблица 6" sheetId="3" r:id="rId5"/>
    <sheet name="таблица 7" sheetId="8" r:id="rId6"/>
    <sheet name="таблица 8" sheetId="2" r:id="rId7"/>
  </sheets>
  <definedNames>
    <definedName name="_Hlk67922527" localSheetId="0">'таблица 2'!#REF!</definedName>
    <definedName name="_Hlk67925744" localSheetId="0">'таблица 2'!#REF!</definedName>
    <definedName name="_Hlk68618498" localSheetId="0">'таблица 2'!#REF!</definedName>
    <definedName name="_Hlk69889099" localSheetId="0">'таблица 2'!$A$9</definedName>
    <definedName name="_Hlk69889156" localSheetId="0">'таблица 2'!#REF!</definedName>
    <definedName name="_xlnm.Print_Area" localSheetId="6">'таблица 8'!$A$1:$J$17</definedName>
  </definedNames>
  <calcPr calcId="162913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5" l="1"/>
  <c r="G134" i="7" l="1"/>
  <c r="G98" i="7"/>
  <c r="G112" i="7"/>
  <c r="G62" i="7" l="1"/>
  <c r="G27" i="7"/>
  <c r="H80" i="7"/>
  <c r="H83" i="7"/>
  <c r="G51" i="7" l="1"/>
  <c r="J58" i="7" l="1"/>
  <c r="G65" i="7" l="1"/>
  <c r="G115" i="7"/>
  <c r="J101" i="7" l="1"/>
  <c r="I101" i="7"/>
  <c r="H101" i="7"/>
  <c r="G101" i="7"/>
  <c r="I65" i="7"/>
  <c r="H65" i="7"/>
  <c r="G58" i="7" l="1"/>
  <c r="G174" i="7" s="1"/>
  <c r="I58" i="7" l="1"/>
  <c r="H58" i="7"/>
  <c r="F24" i="7" l="1"/>
  <c r="G24" i="7"/>
  <c r="H24" i="7"/>
  <c r="I24" i="7"/>
  <c r="J24" i="7"/>
  <c r="G48" i="7"/>
  <c r="I16" i="5" l="1"/>
  <c r="J16" i="5"/>
  <c r="I17" i="5"/>
  <c r="J17" i="5"/>
  <c r="H17" i="5"/>
  <c r="H16" i="5"/>
  <c r="I15" i="5"/>
  <c r="J15" i="5"/>
  <c r="H15" i="5"/>
  <c r="I14" i="5"/>
  <c r="J14" i="5"/>
  <c r="H14" i="5"/>
  <c r="I13" i="5"/>
  <c r="J13" i="5"/>
  <c r="H13" i="5"/>
  <c r="I12" i="5"/>
  <c r="J12" i="5"/>
  <c r="H12" i="5"/>
  <c r="G20" i="7" l="1"/>
  <c r="G23" i="7"/>
  <c r="G159" i="7" s="1"/>
  <c r="G189" i="7" l="1"/>
  <c r="G156" i="7"/>
  <c r="I82" i="7"/>
  <c r="I66" i="7" l="1"/>
  <c r="F98" i="7" l="1"/>
  <c r="F62" i="7" l="1"/>
  <c r="F58" i="7" l="1"/>
  <c r="F174" i="7" s="1"/>
  <c r="I18" i="5" l="1"/>
  <c r="I11" i="5" s="1"/>
  <c r="J18" i="5"/>
  <c r="J11" i="5" s="1"/>
  <c r="H18" i="5"/>
  <c r="H11" i="5" s="1"/>
  <c r="J65" i="7" l="1"/>
  <c r="F137" i="7" l="1"/>
  <c r="F101" i="7" l="1"/>
  <c r="F65" i="7" l="1"/>
  <c r="F51" i="7"/>
  <c r="F112" i="7" l="1"/>
  <c r="I62" i="7"/>
  <c r="J62" i="7" s="1"/>
  <c r="H62" i="7"/>
  <c r="F48" i="7" l="1"/>
  <c r="J134" i="7" l="1"/>
  <c r="J44" i="7"/>
  <c r="J109" i="7" l="1"/>
  <c r="J102" i="7"/>
  <c r="I98" i="7"/>
  <c r="I95" i="7" s="1"/>
  <c r="H98" i="7"/>
  <c r="I104" i="7"/>
  <c r="I125" i="7" s="1"/>
  <c r="I105" i="7"/>
  <c r="I109" i="7"/>
  <c r="J98" i="7" l="1"/>
  <c r="J95" i="7" s="1"/>
  <c r="I102" i="7"/>
  <c r="J52" i="7"/>
  <c r="E68" i="7"/>
  <c r="G69" i="7"/>
  <c r="G44" i="7"/>
  <c r="G86" i="7" s="1"/>
  <c r="I129" i="7" l="1"/>
  <c r="I126" i="7"/>
  <c r="J126" i="7"/>
  <c r="J38" i="7"/>
  <c r="H44" i="7"/>
  <c r="I44" i="7"/>
  <c r="I38" i="7" s="1"/>
  <c r="I52" i="7"/>
  <c r="J59" i="7"/>
  <c r="I59" i="7"/>
  <c r="H34" i="7" l="1"/>
  <c r="G34" i="7"/>
  <c r="G83" i="7" s="1"/>
  <c r="G186" i="7" l="1"/>
  <c r="J34" i="7"/>
  <c r="J83" i="7" s="1"/>
  <c r="I34" i="7"/>
  <c r="I83" i="7" s="1"/>
  <c r="F34" i="7" l="1"/>
  <c r="J174" i="7" l="1"/>
  <c r="H196" i="7"/>
  <c r="H156" i="7"/>
  <c r="I156" i="7"/>
  <c r="J156" i="7"/>
  <c r="F156" i="7"/>
  <c r="J23" i="7" l="1"/>
  <c r="I23" i="7"/>
  <c r="H23" i="7"/>
  <c r="H159" i="7" s="1"/>
  <c r="I86" i="7" l="1"/>
  <c r="I80" i="7" s="1"/>
  <c r="I159" i="7"/>
  <c r="J86" i="7"/>
  <c r="J80" i="7" s="1"/>
  <c r="J159" i="7"/>
  <c r="J17" i="7" l="1"/>
  <c r="G17" i="7"/>
  <c r="H17" i="7"/>
  <c r="I17" i="7"/>
  <c r="E21" i="7"/>
  <c r="E22" i="7"/>
  <c r="E20" i="7"/>
  <c r="F23" i="7" l="1"/>
  <c r="F159" i="7" l="1"/>
  <c r="F17" i="7"/>
  <c r="E23" i="7"/>
  <c r="E17" i="7" s="1"/>
  <c r="F115" i="7"/>
  <c r="E26" i="7" l="1"/>
  <c r="E27" i="7"/>
  <c r="E28" i="7"/>
  <c r="E29" i="7"/>
  <c r="E30" i="7"/>
  <c r="E25" i="7"/>
  <c r="E24" i="7" l="1"/>
  <c r="F122" i="7" l="1"/>
  <c r="F44" i="7" l="1"/>
  <c r="F196" i="7" l="1"/>
  <c r="F45" i="7"/>
  <c r="E34" i="7"/>
  <c r="F41" i="7"/>
  <c r="F83" i="7" s="1"/>
  <c r="G195" i="7"/>
  <c r="H195" i="7"/>
  <c r="I195" i="7"/>
  <c r="J195" i="7"/>
  <c r="F195" i="7"/>
  <c r="G194" i="7"/>
  <c r="H194" i="7"/>
  <c r="I194" i="7"/>
  <c r="J194" i="7"/>
  <c r="F194" i="7"/>
  <c r="G193" i="7"/>
  <c r="H193" i="7"/>
  <c r="I193" i="7"/>
  <c r="J193" i="7"/>
  <c r="F193" i="7"/>
  <c r="G192" i="7"/>
  <c r="H192" i="7"/>
  <c r="I192" i="7"/>
  <c r="J192" i="7"/>
  <c r="F192" i="7"/>
  <c r="G191" i="7"/>
  <c r="H191" i="7"/>
  <c r="I191" i="7"/>
  <c r="J191" i="7"/>
  <c r="F191" i="7"/>
  <c r="G196" i="7"/>
  <c r="I196" i="7"/>
  <c r="J188" i="7"/>
  <c r="I188" i="7"/>
  <c r="H188" i="7"/>
  <c r="G188" i="7"/>
  <c r="F188" i="7"/>
  <c r="J187" i="7"/>
  <c r="I187" i="7"/>
  <c r="H187" i="7"/>
  <c r="G187" i="7"/>
  <c r="F187" i="7"/>
  <c r="J185" i="7"/>
  <c r="I185" i="7"/>
  <c r="H185" i="7"/>
  <c r="G185" i="7"/>
  <c r="F185" i="7"/>
  <c r="J184" i="7"/>
  <c r="I184" i="7"/>
  <c r="H184" i="7"/>
  <c r="G184" i="7"/>
  <c r="I174" i="7"/>
  <c r="H174" i="7"/>
  <c r="J173" i="7"/>
  <c r="I173" i="7"/>
  <c r="H173" i="7"/>
  <c r="G173" i="7"/>
  <c r="F173" i="7"/>
  <c r="J172" i="7"/>
  <c r="I172" i="7"/>
  <c r="H172" i="7"/>
  <c r="G172" i="7"/>
  <c r="F172" i="7"/>
  <c r="J171" i="7"/>
  <c r="I171" i="7"/>
  <c r="H171" i="7"/>
  <c r="G171" i="7"/>
  <c r="F171" i="7"/>
  <c r="J170" i="7"/>
  <c r="I170" i="7"/>
  <c r="H170" i="7"/>
  <c r="G170" i="7"/>
  <c r="F170" i="7"/>
  <c r="J169" i="7"/>
  <c r="I169" i="7"/>
  <c r="H169" i="7"/>
  <c r="G169" i="7"/>
  <c r="F169" i="7"/>
  <c r="J158" i="7"/>
  <c r="I158" i="7"/>
  <c r="H158" i="7"/>
  <c r="G158" i="7"/>
  <c r="F158" i="7"/>
  <c r="J157" i="7"/>
  <c r="I157" i="7"/>
  <c r="H157" i="7"/>
  <c r="G157" i="7"/>
  <c r="F157" i="7"/>
  <c r="J155" i="7"/>
  <c r="I155" i="7"/>
  <c r="H155" i="7"/>
  <c r="G155" i="7"/>
  <c r="F155" i="7"/>
  <c r="J154" i="7"/>
  <c r="I154" i="7"/>
  <c r="H154" i="7"/>
  <c r="G154" i="7"/>
  <c r="F154" i="7"/>
  <c r="I144" i="7"/>
  <c r="I151" i="7" s="1"/>
  <c r="H144" i="7"/>
  <c r="G144" i="7"/>
  <c r="F144" i="7"/>
  <c r="J143" i="7"/>
  <c r="I143" i="7"/>
  <c r="H143" i="7"/>
  <c r="G143" i="7"/>
  <c r="F143" i="7"/>
  <c r="J142" i="7"/>
  <c r="I142" i="7"/>
  <c r="H142" i="7"/>
  <c r="G142" i="7"/>
  <c r="F142" i="7"/>
  <c r="F141" i="7"/>
  <c r="J140" i="7"/>
  <c r="I140" i="7"/>
  <c r="I147" i="7" s="1"/>
  <c r="H140" i="7"/>
  <c r="G140" i="7"/>
  <c r="F140" i="7"/>
  <c r="J139" i="7"/>
  <c r="I139" i="7"/>
  <c r="H139" i="7"/>
  <c r="G139" i="7"/>
  <c r="F139" i="7"/>
  <c r="E137" i="7"/>
  <c r="E136" i="7"/>
  <c r="E135" i="7"/>
  <c r="E133" i="7"/>
  <c r="E132" i="7"/>
  <c r="F131" i="7"/>
  <c r="E100" i="7"/>
  <c r="E99" i="7"/>
  <c r="E97" i="7"/>
  <c r="E96" i="7"/>
  <c r="F95" i="7"/>
  <c r="E122" i="7"/>
  <c r="E121" i="7"/>
  <c r="E120" i="7"/>
  <c r="E119" i="7"/>
  <c r="E118" i="7"/>
  <c r="E117" i="7"/>
  <c r="H116" i="7"/>
  <c r="G116" i="7"/>
  <c r="F116" i="7"/>
  <c r="E114" i="7"/>
  <c r="E113" i="7"/>
  <c r="E112" i="7"/>
  <c r="E111" i="7"/>
  <c r="F110" i="7"/>
  <c r="F184" i="7" s="1"/>
  <c r="H109" i="7"/>
  <c r="G109" i="7"/>
  <c r="H108" i="7"/>
  <c r="G108" i="7"/>
  <c r="F108" i="7"/>
  <c r="F129" i="7" s="1"/>
  <c r="J128" i="7"/>
  <c r="I128" i="7"/>
  <c r="H107" i="7"/>
  <c r="H128" i="7" s="1"/>
  <c r="G107" i="7"/>
  <c r="G128" i="7" s="1"/>
  <c r="F107" i="7"/>
  <c r="J127" i="7"/>
  <c r="I127" i="7"/>
  <c r="H106" i="7"/>
  <c r="H127" i="7" s="1"/>
  <c r="G106" i="7"/>
  <c r="G127" i="7" s="1"/>
  <c r="F106" i="7"/>
  <c r="F127" i="7" s="1"/>
  <c r="H105" i="7"/>
  <c r="H126" i="7" s="1"/>
  <c r="G105" i="7"/>
  <c r="G126" i="7" s="1"/>
  <c r="F105" i="7"/>
  <c r="J125" i="7"/>
  <c r="H104" i="7"/>
  <c r="H125" i="7" s="1"/>
  <c r="G104" i="7"/>
  <c r="G125" i="7" s="1"/>
  <c r="F104" i="7"/>
  <c r="F125" i="7" s="1"/>
  <c r="I124" i="7"/>
  <c r="H103" i="7"/>
  <c r="H124" i="7" s="1"/>
  <c r="G103" i="7"/>
  <c r="E79" i="7"/>
  <c r="E78" i="7"/>
  <c r="E77" i="7"/>
  <c r="E76" i="7"/>
  <c r="E75" i="7"/>
  <c r="E74" i="7"/>
  <c r="H73" i="7"/>
  <c r="G73" i="7"/>
  <c r="F73" i="7"/>
  <c r="E72" i="7"/>
  <c r="E71" i="7"/>
  <c r="E70" i="7"/>
  <c r="E69" i="7"/>
  <c r="E67" i="7"/>
  <c r="H66" i="7"/>
  <c r="G66" i="7"/>
  <c r="F66" i="7"/>
  <c r="E37" i="7"/>
  <c r="E36" i="7"/>
  <c r="E35" i="7"/>
  <c r="E33" i="7"/>
  <c r="E32" i="7"/>
  <c r="H31" i="7"/>
  <c r="G31" i="7"/>
  <c r="F31" i="7"/>
  <c r="E64" i="7"/>
  <c r="E63" i="7"/>
  <c r="F59" i="7"/>
  <c r="E61" i="7"/>
  <c r="E60" i="7"/>
  <c r="J196" i="7"/>
  <c r="E57" i="7"/>
  <c r="E56" i="7"/>
  <c r="E55" i="7"/>
  <c r="E54" i="7"/>
  <c r="E53" i="7"/>
  <c r="H52" i="7"/>
  <c r="G52" i="7"/>
  <c r="E50" i="7"/>
  <c r="E49" i="7"/>
  <c r="E48" i="7"/>
  <c r="E47" i="7"/>
  <c r="E46" i="7"/>
  <c r="H45" i="7"/>
  <c r="G45" i="7"/>
  <c r="H43" i="7"/>
  <c r="G43" i="7"/>
  <c r="F43" i="7"/>
  <c r="F85" i="7" s="1"/>
  <c r="H42" i="7"/>
  <c r="H84" i="7" s="1"/>
  <c r="G42" i="7"/>
  <c r="F42" i="7"/>
  <c r="H41" i="7"/>
  <c r="G41" i="7"/>
  <c r="H40" i="7"/>
  <c r="H82" i="7" s="1"/>
  <c r="G40" i="7"/>
  <c r="F40" i="7"/>
  <c r="F82" i="7" s="1"/>
  <c r="J161" i="7"/>
  <c r="H39" i="7"/>
  <c r="G39" i="7"/>
  <c r="F39" i="7"/>
  <c r="E15" i="7"/>
  <c r="E14" i="7"/>
  <c r="E13" i="7"/>
  <c r="E12" i="7"/>
  <c r="E11" i="7"/>
  <c r="H10" i="7"/>
  <c r="G10" i="7"/>
  <c r="F10" i="7"/>
  <c r="G129" i="7" l="1"/>
  <c r="G151" i="7" s="1"/>
  <c r="G181" i="7" s="1"/>
  <c r="G166" i="7"/>
  <c r="E172" i="7"/>
  <c r="G82" i="7"/>
  <c r="G162" i="7"/>
  <c r="G163" i="7"/>
  <c r="H38" i="7"/>
  <c r="E83" i="7"/>
  <c r="F163" i="7"/>
  <c r="F126" i="7"/>
  <c r="F189" i="7"/>
  <c r="G164" i="7"/>
  <c r="G190" i="7"/>
  <c r="E195" i="7"/>
  <c r="J150" i="7"/>
  <c r="J180" i="7" s="1"/>
  <c r="I161" i="7"/>
  <c r="F164" i="7"/>
  <c r="J164" i="7"/>
  <c r="I165" i="7"/>
  <c r="F162" i="7"/>
  <c r="J162" i="7"/>
  <c r="H149" i="7"/>
  <c r="H179" i="7" s="1"/>
  <c r="H147" i="7"/>
  <c r="H177" i="7" s="1"/>
  <c r="E154" i="7"/>
  <c r="E155" i="7"/>
  <c r="J153" i="7"/>
  <c r="I153" i="7"/>
  <c r="E158" i="7"/>
  <c r="E159" i="7"/>
  <c r="F84" i="7"/>
  <c r="F149" i="7" s="1"/>
  <c r="G131" i="7"/>
  <c r="F103" i="7"/>
  <c r="F161" i="7" s="1"/>
  <c r="E139" i="7"/>
  <c r="E140" i="7"/>
  <c r="E143" i="7"/>
  <c r="J144" i="7"/>
  <c r="E170" i="7"/>
  <c r="I168" i="7"/>
  <c r="E187" i="7"/>
  <c r="H161" i="7"/>
  <c r="H165" i="7"/>
  <c r="F109" i="7"/>
  <c r="E110" i="7"/>
  <c r="E116" i="7"/>
  <c r="J190" i="7"/>
  <c r="E10" i="7"/>
  <c r="E41" i="7"/>
  <c r="E43" i="7"/>
  <c r="E31" i="7"/>
  <c r="H85" i="7"/>
  <c r="H150" i="7" s="1"/>
  <c r="H180" i="7" s="1"/>
  <c r="E106" i="7"/>
  <c r="E184" i="7"/>
  <c r="H153" i="7"/>
  <c r="F165" i="7"/>
  <c r="H168" i="7"/>
  <c r="E192" i="7"/>
  <c r="H190" i="7"/>
  <c r="E42" i="7"/>
  <c r="I146" i="7"/>
  <c r="E142" i="7"/>
  <c r="E156" i="7"/>
  <c r="E157" i="7"/>
  <c r="E171" i="7"/>
  <c r="E193" i="7"/>
  <c r="E39" i="7"/>
  <c r="E40" i="7"/>
  <c r="E196" i="7"/>
  <c r="J147" i="7"/>
  <c r="J177" i="7" s="1"/>
  <c r="E185" i="7"/>
  <c r="I190" i="7"/>
  <c r="E127" i="7"/>
  <c r="F153" i="7"/>
  <c r="H163" i="7"/>
  <c r="F52" i="7"/>
  <c r="E52" i="7" s="1"/>
  <c r="G84" i="7"/>
  <c r="G149" i="7" s="1"/>
  <c r="G179" i="7" s="1"/>
  <c r="I150" i="7"/>
  <c r="I180" i="7" s="1"/>
  <c r="G102" i="7"/>
  <c r="E104" i="7"/>
  <c r="F138" i="7"/>
  <c r="J165" i="7"/>
  <c r="H186" i="7"/>
  <c r="I163" i="7"/>
  <c r="H131" i="7"/>
  <c r="F190" i="7"/>
  <c r="E191" i="7"/>
  <c r="E73" i="7"/>
  <c r="F81" i="7"/>
  <c r="H102" i="7"/>
  <c r="E107" i="7"/>
  <c r="F128" i="7"/>
  <c r="E128" i="7" s="1"/>
  <c r="E115" i="7"/>
  <c r="G124" i="7"/>
  <c r="G123" i="7" s="1"/>
  <c r="H141" i="7"/>
  <c r="H138" i="7" s="1"/>
  <c r="G81" i="7"/>
  <c r="G161" i="7"/>
  <c r="I162" i="7"/>
  <c r="I149" i="7"/>
  <c r="I179" i="7" s="1"/>
  <c r="I164" i="7"/>
  <c r="G85" i="7"/>
  <c r="G150" i="7" s="1"/>
  <c r="G180" i="7" s="1"/>
  <c r="G165" i="7"/>
  <c r="J124" i="7"/>
  <c r="H162" i="7"/>
  <c r="G38" i="7"/>
  <c r="E58" i="7"/>
  <c r="F186" i="7"/>
  <c r="E66" i="7"/>
  <c r="H81" i="7"/>
  <c r="E105" i="7"/>
  <c r="E98" i="7"/>
  <c r="G95" i="7"/>
  <c r="H164" i="7"/>
  <c r="E169" i="7"/>
  <c r="E173" i="7"/>
  <c r="F168" i="7"/>
  <c r="J168" i="7"/>
  <c r="E188" i="7"/>
  <c r="E194" i="7"/>
  <c r="G141" i="7"/>
  <c r="G148" i="7" s="1"/>
  <c r="G153" i="7"/>
  <c r="G168" i="7"/>
  <c r="F147" i="7" l="1"/>
  <c r="E82" i="7"/>
  <c r="G80" i="7"/>
  <c r="E125" i="7"/>
  <c r="I123" i="7"/>
  <c r="E144" i="7"/>
  <c r="G147" i="7"/>
  <c r="G177" i="7" s="1"/>
  <c r="F102" i="7"/>
  <c r="E102" i="7" s="1"/>
  <c r="F183" i="7"/>
  <c r="G178" i="7"/>
  <c r="F124" i="7"/>
  <c r="E124" i="7" s="1"/>
  <c r="G59" i="7"/>
  <c r="E165" i="7"/>
  <c r="E103" i="7"/>
  <c r="G160" i="7"/>
  <c r="G183" i="7"/>
  <c r="E109" i="7"/>
  <c r="I177" i="7"/>
  <c r="E190" i="7"/>
  <c r="E164" i="7"/>
  <c r="E126" i="7"/>
  <c r="E84" i="7"/>
  <c r="H148" i="7"/>
  <c r="H178" i="7" s="1"/>
  <c r="J146" i="7"/>
  <c r="E174" i="7"/>
  <c r="F148" i="7"/>
  <c r="E108" i="7"/>
  <c r="E81" i="7"/>
  <c r="I131" i="7"/>
  <c r="I141" i="7"/>
  <c r="F150" i="7"/>
  <c r="E162" i="7"/>
  <c r="F179" i="7"/>
  <c r="F166" i="7"/>
  <c r="F86" i="7"/>
  <c r="F38" i="7"/>
  <c r="I176" i="7"/>
  <c r="E168" i="7"/>
  <c r="E45" i="7"/>
  <c r="E51" i="7"/>
  <c r="E44" i="7"/>
  <c r="G138" i="7"/>
  <c r="H146" i="7"/>
  <c r="G146" i="7"/>
  <c r="J149" i="7"/>
  <c r="J179" i="7" s="1"/>
  <c r="I186" i="7"/>
  <c r="E62" i="7"/>
  <c r="E153" i="7"/>
  <c r="E161" i="7"/>
  <c r="E85" i="7"/>
  <c r="F80" i="7" l="1"/>
  <c r="I138" i="7"/>
  <c r="I148" i="7"/>
  <c r="I178" i="7" s="1"/>
  <c r="J163" i="7"/>
  <c r="E163" i="7" s="1"/>
  <c r="J186" i="7"/>
  <c r="E186" i="7" s="1"/>
  <c r="F151" i="7"/>
  <c r="F181" i="7" s="1"/>
  <c r="G145" i="7"/>
  <c r="F146" i="7"/>
  <c r="E146" i="7" s="1"/>
  <c r="F123" i="7"/>
  <c r="J141" i="7"/>
  <c r="J148" i="7" s="1"/>
  <c r="J131" i="7"/>
  <c r="E131" i="7" s="1"/>
  <c r="E134" i="7"/>
  <c r="F177" i="7"/>
  <c r="E177" i="7" s="1"/>
  <c r="E147" i="7"/>
  <c r="E150" i="7"/>
  <c r="F180" i="7"/>
  <c r="E180" i="7" s="1"/>
  <c r="F160" i="7"/>
  <c r="H176" i="7"/>
  <c r="E38" i="7"/>
  <c r="E149" i="7"/>
  <c r="H95" i="7"/>
  <c r="H129" i="7"/>
  <c r="H123" i="7" s="1"/>
  <c r="G176" i="7"/>
  <c r="G175" i="7" s="1"/>
  <c r="E179" i="7"/>
  <c r="F178" i="7"/>
  <c r="J176" i="7"/>
  <c r="H86" i="7" l="1"/>
  <c r="H59" i="7"/>
  <c r="F176" i="7"/>
  <c r="F175" i="7" s="1"/>
  <c r="F145" i="7"/>
  <c r="H189" i="7"/>
  <c r="H183" i="7" s="1"/>
  <c r="H166" i="7"/>
  <c r="H160" i="7" s="1"/>
  <c r="J138" i="7"/>
  <c r="E138" i="7" s="1"/>
  <c r="E141" i="7"/>
  <c r="E176" i="7" l="1"/>
  <c r="E80" i="7"/>
  <c r="E86" i="7"/>
  <c r="H151" i="7"/>
  <c r="J166" i="7"/>
  <c r="J160" i="7" s="1"/>
  <c r="I189" i="7"/>
  <c r="E65" i="7"/>
  <c r="J178" i="7"/>
  <c r="E148" i="7"/>
  <c r="I166" i="7"/>
  <c r="H181" i="7" l="1"/>
  <c r="H175" i="7" s="1"/>
  <c r="H145" i="7"/>
  <c r="E59" i="7"/>
  <c r="J189" i="7"/>
  <c r="J183" i="7" s="1"/>
  <c r="I160" i="7"/>
  <c r="E160" i="7" s="1"/>
  <c r="E166" i="7"/>
  <c r="I183" i="7"/>
  <c r="E95" i="7"/>
  <c r="J129" i="7"/>
  <c r="E178" i="7"/>
  <c r="E101" i="7"/>
  <c r="J123" i="7" l="1"/>
  <c r="J151" i="7"/>
  <c r="J181" i="7" s="1"/>
  <c r="J175" i="7" s="1"/>
  <c r="E189" i="7"/>
  <c r="E183" i="7"/>
  <c r="E129" i="7"/>
  <c r="E123" i="7" s="1"/>
  <c r="I181" i="7"/>
  <c r="I145" i="7"/>
  <c r="J145" i="7" l="1"/>
  <c r="E145" i="7" s="1"/>
  <c r="E151" i="7"/>
  <c r="I175" i="7"/>
  <c r="E175" i="7" s="1"/>
  <c r="E181" i="7"/>
</calcChain>
</file>

<file path=xl/comments1.xml><?xml version="1.0" encoding="utf-8"?>
<comments xmlns="http://schemas.openxmlformats.org/spreadsheetml/2006/main">
  <authors>
    <author>komkultur@mail.ru</author>
  </authors>
  <commentList>
    <comment ref="B38" authorId="0" shapeId="0">
      <text>
        <r>
          <rPr>
            <b/>
            <sz val="9"/>
            <color indexed="81"/>
            <rFont val="Tahoma"/>
            <family val="2"/>
            <charset val="204"/>
          </rPr>
          <t>05.102.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66" authorId="0" shapeId="0">
      <text>
        <r>
          <rPr>
            <b/>
            <sz val="9"/>
            <color indexed="81"/>
            <rFont val="Tahoma"/>
            <family val="2"/>
            <charset val="204"/>
          </rPr>
          <t>05.106.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<sst xmlns="http://schemas.openxmlformats.org/spreadsheetml/2006/main" count="435" uniqueCount="184">
  <si>
    <t>№ п/п</t>
  </si>
  <si>
    <t>Департамент культуры и спорта Нефтеюганского района</t>
  </si>
  <si>
    <t>Источники финансирования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</si>
  <si>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</si>
  <si>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</si>
  <si>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</si>
  <si>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</si>
  <si>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</si>
  <si>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</si>
  <si>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</si>
  <si>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</si>
  <si>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</si>
  <si>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</si>
  <si>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 xml:space="preserve"> </t>
  </si>
  <si>
    <t>2023 г.</t>
  </si>
  <si>
    <t>2024 г.</t>
  </si>
  <si>
    <t>Таблица 6</t>
  </si>
  <si>
    <t>Наименование инвестиционного проекта</t>
  </si>
  <si>
    <t>Эффект от реализации инвестиционного проекта (налоговые поступления, количество создаваемых мест в детских дошкольных учреждениях и т.п.)</t>
  </si>
  <si>
    <t>Объем финансирования инвестиционного проекта, (тыс. рублей)</t>
  </si>
  <si>
    <t>Перечень
объектов социально-культурного и коммунально-бытового назначения, масштабных инвестиционных проектов (далее- инвестиционные проекты)</t>
  </si>
  <si>
    <t>Таблица 5</t>
  </si>
  <si>
    <t xml:space="preserve">Перечень объектов капитального строительства </t>
  </si>
  <si>
    <t>Наименование объекта (инвестиционного проекта)</t>
  </si>
  <si>
    <t>Показатель мощности</t>
  </si>
  <si>
    <t xml:space="preserve">Срок строительства (приобретения)  </t>
  </si>
  <si>
    <t>Механизм реализации (источник финансирования)</t>
  </si>
  <si>
    <t>Наименование целевого показателя</t>
  </si>
  <si>
    <t>Мощность</t>
  </si>
  <si>
    <t>Таблица 4</t>
  </si>
  <si>
    <t xml:space="preserve">Наименование объекта </t>
  </si>
  <si>
    <t>Срок строительства, проектирования (характер работ)</t>
  </si>
  <si>
    <t>Источник финансирования</t>
  </si>
  <si>
    <t>Механизм реализации</t>
  </si>
  <si>
    <t>Заказчик по строительству (приобретению)</t>
  </si>
  <si>
    <t>в том числе</t>
  </si>
  <si>
    <t>Таблица 3</t>
  </si>
  <si>
    <t>Перечень структурных элементов (основных мероприятий) муниципальной программы</t>
  </si>
  <si>
    <t xml:space="preserve"> № структурного элемента (основного мероприятия)</t>
  </si>
  <si>
    <t>Наименование структурного элемента (основного мероприятия)</t>
  </si>
  <si>
    <t>Направления расходов структурного элемента (основного мероприятия)</t>
  </si>
  <si>
    <t>1.1.</t>
  </si>
  <si>
    <t>Таблица 2</t>
  </si>
  <si>
    <t>средства по Соглашениям по передаче полномочий * *</t>
  </si>
  <si>
    <t>средства поселений ***</t>
  </si>
  <si>
    <t>средства по Соглашениям по передаче полномочий **</t>
  </si>
  <si>
    <t>Всего по муниципальной программе</t>
  </si>
  <si>
    <t>в том числе: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</si>
  <si>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</si>
  <si>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</si>
  <si>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</si>
  <si>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</si>
  <si>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7</t>
  </si>
  <si>
    <t xml:space="preserve">№ п/п </t>
  </si>
  <si>
    <t xml:space="preserve">Наименование концессионного соглашения </t>
  </si>
  <si>
    <t>Реквизиты решения Правительства автономного округа о заключении соглашения</t>
  </si>
  <si>
    <t>Срок реализации</t>
  </si>
  <si>
    <t>Сведения о прогнозных условных и без условных обязательств, возникающих при исполнении концессионного соглашения</t>
  </si>
  <si>
    <t>Объем безусловных обязательств</t>
  </si>
  <si>
    <t xml:space="preserve">Объем условных обязательств </t>
  </si>
  <si>
    <t>2023 год</t>
  </si>
  <si>
    <t>2024 год</t>
  </si>
  <si>
    <t>3.1.</t>
  </si>
  <si>
    <t>1.2.</t>
  </si>
  <si>
    <t>Ответственный исполнитель (Департамент культуры и спорта Нефтеюганского района)</t>
  </si>
  <si>
    <t>2019 г.</t>
  </si>
  <si>
    <t>2020 г.</t>
  </si>
  <si>
    <t>1.3.</t>
  </si>
  <si>
    <t>Итого по подпрограмме I</t>
  </si>
  <si>
    <t>Итого по подпрограмме  II</t>
  </si>
  <si>
    <t>Подпрограмма III «Управление отраслью физической культуры и спорта»</t>
  </si>
  <si>
    <t>Итого по подпрограмме  III</t>
  </si>
  <si>
    <t>Соисполнитель 1 (Департамент строительства и жилищно-коммунального комплекса Нефтеюганскогорайона)</t>
  </si>
  <si>
    <t>Физкультурно-оздоровительный комплекс с.п.Каркатеевы</t>
  </si>
  <si>
    <t>Реализация данного мероприятия направленно на создание условий, обеспечивающих возможность для систематических занятий физической культурой и спортом.</t>
  </si>
  <si>
    <t xml:space="preserve">объектов социально-культурного и коммунально-бытового назначения, масштабных инвестиционных проектов 
(далее- инвестиционные проекты)
</t>
  </si>
  <si>
    <t>1.5.</t>
  </si>
  <si>
    <t>1.6.</t>
  </si>
  <si>
    <t>2.1.</t>
  </si>
  <si>
    <t>2.2.</t>
  </si>
  <si>
    <t xml:space="preserve">Ответственный исполнитель / соисполнитель </t>
  </si>
  <si>
    <t xml:space="preserve">Финансовые затраты на реализацию (тыс.  рублей) </t>
  </si>
  <si>
    <t>1.4.</t>
  </si>
  <si>
    <t>средства по Соглашениям по передаче полномочий**</t>
  </si>
  <si>
    <t>средства полномочий ***</t>
  </si>
  <si>
    <t xml:space="preserve">Наименование показателя </t>
  </si>
  <si>
    <t>№</t>
  </si>
  <si>
    <t>2024г.</t>
  </si>
  <si>
    <t xml:space="preserve">всего </t>
  </si>
  <si>
    <t>средства по Соглашениям по передаче полномочий</t>
  </si>
  <si>
    <t xml:space="preserve">средства поселений </t>
  </si>
  <si>
    <t>1.7.</t>
  </si>
  <si>
    <t>Строительство</t>
  </si>
  <si>
    <t>не определен</t>
  </si>
  <si>
    <t>1</t>
  </si>
  <si>
    <t>2</t>
  </si>
  <si>
    <t>3</t>
  </si>
  <si>
    <t>5</t>
  </si>
  <si>
    <t>Уровень обеспеченности населения спортивными сооружениями, исходя из единовременной пропускной способности объектов спорта %</t>
  </si>
  <si>
    <t>чел/час</t>
  </si>
  <si>
    <t>Иные источники</t>
  </si>
  <si>
    <t>чел</t>
  </si>
  <si>
    <t xml:space="preserve">Местный бюджет                   </t>
  </si>
  <si>
    <t>5.1.</t>
  </si>
  <si>
    <t>2027-2029</t>
  </si>
  <si>
    <t>2027-2028</t>
  </si>
  <si>
    <t>2025 год</t>
  </si>
  <si>
    <t>2026 год</t>
  </si>
  <si>
    <t>2027-2030 годы</t>
  </si>
  <si>
    <t xml:space="preserve">В рамках данного мероприятия обеспечение детско-юношеских спортивных школ Нефтеюганского района спортивным оборудованием, экипировкой и инвентарем,   создание современной спортивной инфраструктуры для занятий физической культурой и спортом,  создание безопасной и комфортной среды  для  занимающихся физической культурой и спортом.  </t>
  </si>
  <si>
    <t>В рамках данного мероприятия осуществляется приобретение значков, квалификационных книжек для присвоения спортивных разрядов, осуществляется материальное поощрение спортсменов и тренеров по итогам выступлений на Российских и международных соревнованиях по олимпийским, неолимпийским, параолимпийским, сурдлимпийским видам спорта, а также включенных в программу Всемирных специальных олимпийских игр</t>
  </si>
  <si>
    <t xml:space="preserve">Реализация данного мероприятия направленно на  создание современной спортивной инфраструктуры для занятий физической культурой и спортом в Нефтеюганском районе,  обеспечение спортивных комплексов Нефтеюганского района спортивным оборудованием, экипировкой и инвентарем,  создание безопасной и комфортной среды  для  занимающихся физической культурой и спортом </t>
  </si>
  <si>
    <t>2025 г.</t>
  </si>
  <si>
    <t>2026 г.</t>
  </si>
  <si>
    <t xml:space="preserve">Подпрограмма II «Развитие детско-юношеского спорта» </t>
  </si>
  <si>
    <t>Сведения о прогнозных и фактически исполненных условных и безусловных обязательствах, возникающих при исполнении концессионного соглашения</t>
  </si>
  <si>
    <t>Сведения о фактически исполненных обязательствах на 01.01.2023 год</t>
  </si>
  <si>
    <t>Департамент строительства и жилищно-коммунального комплекса Нефтеюганского района</t>
  </si>
  <si>
    <t>Постановление администрации Нефтеюганского района от 30.09.2015 № 1809-па «О порядке формирования муниципального задания на оказание муниципальных услуг (выполнение работ) муниципальными учреждениями Нефтеюганского района и финансовом обеспечении его выполнения»</t>
  </si>
  <si>
    <t xml:space="preserve">Структурный элемент (основное мероприятие) муниципальной программы </t>
  </si>
  <si>
    <t>Департамент культуры и спорта Нефтеюганского района, Департамент строительства и жилищно-коммунального комплекса Нефтеюганского района</t>
  </si>
  <si>
    <t>Основное мероприятие «Развитие инфраструктуры для занятий физической культурой и массовым спортом» (показатели 1,2 табл.1)</t>
  </si>
  <si>
    <t>Распределение финансовых ресурсов муниципальной программы</t>
  </si>
  <si>
    <t>Лыжероллерная трасса сп.Каркатеевы</t>
  </si>
  <si>
    <t>».</t>
  </si>
  <si>
    <t>1.8.</t>
  </si>
  <si>
    <t>Проект Нефтеюганского района «Лыжероллерная трасса сп. Каркатеевы» (показатели 1,2 табл.1)</t>
  </si>
  <si>
    <t>100 чел.</t>
  </si>
  <si>
    <t>Департамент культуры и спорта Нефтеюганского района
Департамент строительства и жилищно-коммунального комплекса Нефтеюганского района</t>
  </si>
  <si>
    <t xml:space="preserve">Основное мероприятие «Оказание поддержки автономным некоммерческим и иным некоммерческим организациям в развитии физической культуры и спорта»  (показатель.6 таблицы 8)
</t>
  </si>
  <si>
    <t xml:space="preserve">Без финансирования
В рамках данного мероприятия, 
автономным некоммерческим и иным некоммерческим организациям, на безвозмездной основе, оказывается поддержка по организации и проведении официальных физкультурных (физкультурно-оздоровительных) мероприятий. 
</t>
  </si>
  <si>
    <t xml:space="preserve">Постановление администрации Нефтеюганского района от 09.04.2021 №570-па «Об утверждении плана мероприятий («дорожной карты») по поддержке доступа негосударственных организаций (коммерческих, некоммерческих) к предоставлению услуг в социальной сфере в Нефтеюганском районе на 2021-2025 годы»
</t>
  </si>
  <si>
    <t>Основное мероприятие «Развитие инфраструктуры для занятий физической культурой и массовым спортом» (п.1таблицы 1)</t>
  </si>
  <si>
    <t>Проект Нефтеюганского района «Лыжероллерная трасса сп. Каркатеевы»
(показатели 1,2 табл.1)</t>
  </si>
  <si>
    <t xml:space="preserve">Основное мероприятие:                          «Оказание поддержки автономным некоммерческим и иным некоммерческим организациям в развитии физической культуры и спорта»
</t>
  </si>
  <si>
    <t xml:space="preserve">Наименование порядка, номер приложения (при наличии) либо реквизиты нормативного правового акта утвержденного Порядка </t>
  </si>
  <si>
    <t xml:space="preserve"> Региональный проект «Спорт-норма жизни» (показатели 1,2 табл.1)</t>
  </si>
  <si>
    <t xml:space="preserve"> Проект Нефтеюганского района «Крепкое здоровье-крепкий район.» (показатели 1,2 табл.1)</t>
  </si>
  <si>
    <t xml:space="preserve">    Основное мероприятие:          «Укрепление материально-технической базы учреждений спорта» (показатель 2 табл.1; показатели 1,2,3,4 табл.8) </t>
  </si>
  <si>
    <t>Основное мероприятие «Обеспечение деятельности (оказание услуг) организация занятий физической культурой и спортом» (показатель  1 табл.1; показатели 1,2,3,4 табл.8)</t>
  </si>
  <si>
    <t>Основное мероприятие  «Развитие сети шаговой доступности»  (показатель 1 табл.1; показатели 3,4,5 табл.8)</t>
  </si>
  <si>
    <t xml:space="preserve">Основное мероприятие: «Обеспечение деятельности (оказание услуг)  по  организации дополнительного образования детей и спортивной подготовки»  (показатель 1 табл.1, показатели 1,3,7, табл.8)              </t>
  </si>
  <si>
    <t xml:space="preserve">Основное мероприятие: «Укрепление материально-технической базы учреждений спорта» (показатель 2 табл.1; показатели 1,2,3,4 табл.8;)   </t>
  </si>
  <si>
    <t>Основное мероприятие: «Единовременное денежное вознаграждение спортсменам (победителям и призерам), их личным тренерам, присвоение спортивных разрядов, квалификационных категорий спортивных судей»  (показатель 1табл.1, показатели 1,2,3,4 табл.8)</t>
  </si>
  <si>
    <t>Основное мероприятие «Укрепление материально-технической базы учреждений спорта» (показатель 2 табл.1; показатели 1,2,3,4 табл.8)</t>
  </si>
  <si>
    <t>Основное мероприятие «Развитие сети шаговой доступности» (п.1таблицы 1; п. 2,3,4 таблицы 8)</t>
  </si>
  <si>
    <t xml:space="preserve">Основное мероприятие «Обеспечение деятельности (оказание услуг)  по  организации дополнительного образования детей и спортивной подготовки» (показатель 1 табл.1, показатели 1,3 табл.8)             </t>
  </si>
  <si>
    <t>Основное мероприятие  «Укрепление материально-технической базы учреждений спорта»  (показатель 2 табл.1; показатели 1,2,3,4 табл.8;)</t>
  </si>
  <si>
    <t xml:space="preserve">Основное мероприятие «Единовременное денежное вознаграждение спортсменам (победителям и призерам), их личным тренерам, присвоение спортивных разрядов, квалификационных категорий спортивных судей» (показатель 1табл.1, показатели 1,2,3,4 табл.8)  </t>
  </si>
  <si>
    <t>Цель: «Создание условий, обеспечивающих жителям Нефтеюганского района возможность для систематических занятий физической культурой и спортом; обеспечение конкурентоспособности спортсменов Нефтеюганского района на окружной, российской и международной спортивной арене»</t>
  </si>
  <si>
    <t>Задача 1. «Пропаганда спортивного образа жизни для всех возрастных категорий и социальных групп граждан»</t>
  </si>
  <si>
    <t>Подпрограмма «Развитие массовой физической культуры и спорта, школьного спорта»</t>
  </si>
  <si>
    <t xml:space="preserve">Без финансирования.                                       В рамках реализации Регионального проекта «Спорт-норма жизни» на территории Нефтеюганского района проводятся Всероссийские мероприятия:                         
1) «Лыжня России»                                                          2) Всероссийский день бега «Кросс - наций».   </t>
  </si>
  <si>
    <t xml:space="preserve">Задача 2. «Обеспечение доступа жителям Нефтеюганского района к спортивной инфраструктуре» </t>
  </si>
  <si>
    <t>Задача 3. «Повышение доступности и качества спортивной подготовки детей и обеспечение прогресса спортивного резерва. Развитие детско-юношеского спорта.»</t>
  </si>
  <si>
    <t xml:space="preserve">Задача 4. «Создание условий для успешного выступления спортсменов Нефтеюганского района на окружных, всероссийских и международных соревнованиях» </t>
  </si>
  <si>
    <t>В рамках данного проекта предусмотрено создание в Нефтеюганском районе лыжероллерной трассы на которой возможна организация тренировочных сборов для спортсменов проходящих спортивную подготовку по циклическим видам спорта.</t>
  </si>
  <si>
    <t xml:space="preserve">
Количество негосударственных организаций, в том числе СОНКО, участвующих в реализации мероприятий муниципальной программы, единиц
</t>
  </si>
  <si>
    <t>Всего:</t>
  </si>
  <si>
    <t>Перечень реализуемых объектов на очередной финансовый год 2024 год и на плановый период 2025 и 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</si>
  <si>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2025г.</t>
  </si>
  <si>
    <t>Остаток стоимости на 01.01.2024</t>
  </si>
  <si>
    <t>Инвестиции</t>
  </si>
  <si>
    <t>Стоимость объекта 
в ценах соответствующих лет с учетом периода реализации проекта (планируемый объем инвестиций)</t>
  </si>
  <si>
    <t xml:space="preserve">Доля граждан в возрасте 3-29 лет,  систематически занимающихся физической культурой и спортом, в общей численности граждан данной возрастной категории, % </t>
  </si>
  <si>
    <t>Доля граждан в возрасте от 30 до 54 лет включительно (женщины) и до 59 лет включительно (мужчины), систематически занимающихся физической культурой и спортом, в общей численности граждан данной возрастной категории, %</t>
  </si>
  <si>
    <t>Доля граждан в возрасте от 55 лет (женщины) и от 60 лет (мужчины) до 79 лет включительно, систематически занимающихся физической культурой и спортом, в общей численности граждан данной возрастной категории, %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</si>
  <si>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указанной категории  лиц, не имеющих противопоказаний для занятий физической культурой и спортом, %</t>
  </si>
  <si>
    <t>из них учащихся, %</t>
  </si>
  <si>
    <t xml:space="preserve">
1
</t>
  </si>
  <si>
    <t xml:space="preserve">     Подпрограмма I «Развитие массовой физической культуры и спорта, школьного спорта»                           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</si>
  <si>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обороне», %</t>
  </si>
  <si>
    <t xml:space="preserve">В рамках данного мероприятия осуществляется проведение   районных комплексных спортивно-массовых мероприятий, участие в окружных, региональных, всероссийских и международных соревнованиях в соответствии с календарным планом, осуществляется содержание учреждения и выплата заработной платы БУНР «Центр спорта и культуры». </t>
  </si>
  <si>
    <t>В рамках данного мероприятия осуществляется реализация дополнительных образовательных программ спортивной подготовки, обеспечение содержания учреждения и выплата заработной платы НРБУ ДО СШ «Нептун»</t>
  </si>
  <si>
    <t xml:space="preserve">Физкультурно-оздоровительный комплекс 
гп. Пойковский                         </t>
  </si>
  <si>
    <t>В рамках данного проекта осуществляется деятельность БУНР «Центр спорта и культуры» (проведение спортивных мероприятий в зачет Спартакиады трудящихся Нефтеюганского района «За здоровый образ жизни»).</t>
  </si>
  <si>
    <t>Физкультурно-оздоровительный комплекс сп.Чеускино</t>
  </si>
  <si>
    <t>Физкультурно-оздоровительный комплекс сп.Сентябрьский</t>
  </si>
  <si>
    <t>Проект Нефтеюганского района «Крепкое здоровье-крепкий район» (показатели 1,2 табл.1)</t>
  </si>
  <si>
    <t>2.3.</t>
  </si>
  <si>
    <t xml:space="preserve">Проект Нефтеюганского района «Капитальный ремонт здания Нефтеюганского районного бюджетного учреждения 
дополнительного образования спортивная школа «Нептун»» 
</t>
  </si>
  <si>
    <t>В рамках данного проекта предусмотрены расходы на капитальный ремонт здания Нефтеюганского районного бюджетного учреждения дополнительного образования спортивная школа «Нептун»»</t>
  </si>
  <si>
    <t>2022-2027</t>
  </si>
  <si>
    <t xml:space="preserve">Проект Нефтеюганского района Капитальный ремонт здания Нефтеюганского районного бюджетного учреждения 
дополнительного образования спортивная школа «Нептун»
(показатели 1,2 табл.1)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</si>
</sst>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₽_-;\-* #,##0.00\ _₽_-;_-* &quot;-&quot;??\ _₽_-;_-@_-"/>
    <numFmt numFmtId="164" formatCode="_-* #,##0.00000\ _₽_-;\-* #,##0.00000\ _₽_-;_-* &quot;-&quot;??\ _₽_-;_-@_-"/>
    <numFmt numFmtId="165" formatCode="_-* #,##0.00_р_._-;\-* #,##0.00_р_._-;_-* &quot;-&quot;??_р_._-;_-@_-"/>
    <numFmt numFmtId="166" formatCode="_-* #,##0.00000_р_._-;\-* #,##0.00000_р_._-;_-* &quot;-&quot;??_р_._-;_-@_-"/>
    <numFmt numFmtId="167" formatCode="_-* #,##0.00000\ _₽_-;\-* #,##0.00000\ _₽_-;_-* &quot;-&quot;?????\ _₽_-;_-@_-"/>
    <numFmt numFmtId="168" formatCode="#,##0.00000"/>
    <numFmt numFmtId="169" formatCode="_-* #,##0.000000_р_._-;\-* #,##0.000000_р_._-;_-* &quot;-&quot;??????_р_._-;_-@_-"/>
    <numFmt numFmtId="170" formatCode="0.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Calibri"/>
      <family val="2"/>
      <scheme val="minor"/>
    </font>
    <font>
      <b/>
      <sz val="14"/>
      <name val="Calibri"/>
      <family val="2"/>
      <charset val="204"/>
      <scheme val="minor"/>
    </font>
    <font>
      <b/>
      <sz val="20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b/>
      <sz val="20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43" fontId="3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2" fillId="0" borderId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</cellStyleXfs>
  <cellXfs count="170">
    <xf numFmtId="0" fontId="0" fillId="0" borderId="0" xfId="0"/>
    <xf numFmtId="0" fontId="4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Fill="1"/>
    <xf numFmtId="0" fontId="0" fillId="2" borderId="0" xfId="0" applyFill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2" borderId="1" xfId="1" applyNumberFormat="1" applyFont="1" applyFill="1" applyBorder="1" applyAlignment="1">
      <alignment horizontal="justify" vertical="center"/>
    </xf>
    <xf numFmtId="0" fontId="5" fillId="0" borderId="1" xfId="0" applyFont="1" applyBorder="1" applyAlignment="1">
      <alignment horizontal="left" vertical="center" wrapText="1"/>
    </xf>
    <xf numFmtId="43" fontId="5" fillId="0" borderId="1" xfId="1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6" fillId="0" borderId="0" xfId="0" applyFont="1" applyFill="1"/>
    <xf numFmtId="0" fontId="11" fillId="0" borderId="1" xfId="4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justify" vertical="center"/>
    </xf>
    <xf numFmtId="0" fontId="12" fillId="0" borderId="1" xfId="0" applyFont="1" applyFill="1" applyBorder="1" applyAlignment="1">
      <alignment horizontal="left" vertical="center" wrapText="1"/>
    </xf>
    <xf numFmtId="166" fontId="12" fillId="0" borderId="1" xfId="4" applyNumberFormat="1" applyFont="1" applyFill="1" applyBorder="1" applyAlignment="1">
      <alignment vertical="center" wrapText="1"/>
    </xf>
    <xf numFmtId="0" fontId="6" fillId="0" borderId="0" xfId="0" applyFont="1" applyFill="1" applyAlignment="1">
      <alignment horizontal="right" vertical="center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 wrapText="1"/>
    </xf>
    <xf numFmtId="0" fontId="0" fillId="0" borderId="0" xfId="0" applyFill="1" applyBorder="1"/>
    <xf numFmtId="170" fontId="14" fillId="0" borderId="1" xfId="0" applyNumberFormat="1" applyFont="1" applyFill="1" applyBorder="1" applyAlignment="1">
      <alignment horizontal="center" vertical="center" wrapText="1"/>
    </xf>
    <xf numFmtId="170" fontId="13" fillId="0" borderId="1" xfId="0" applyNumberFormat="1" applyFont="1" applyFill="1" applyBorder="1" applyAlignment="1">
      <alignment horizontal="center" vertical="center" wrapText="1"/>
    </xf>
    <xf numFmtId="170" fontId="13" fillId="0" borderId="0" xfId="0" applyNumberFormat="1" applyFont="1" applyFill="1" applyBorder="1" applyAlignment="1">
      <alignment horizontal="center" vertical="center" wrapText="1"/>
    </xf>
    <xf numFmtId="170" fontId="13" fillId="0" borderId="0" xfId="0" applyNumberFormat="1" applyFont="1" applyFill="1" applyBorder="1" applyAlignment="1">
      <alignment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19" fillId="0" borderId="0" xfId="0" applyFont="1" applyFill="1" applyAlignment="1">
      <alignment horizontal="right"/>
    </xf>
    <xf numFmtId="0" fontId="1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/>
    </xf>
    <xf numFmtId="164" fontId="11" fillId="0" borderId="1" xfId="1" applyNumberFormat="1" applyFont="1" applyFill="1" applyBorder="1" applyAlignment="1">
      <alignment horizontal="justify" vertical="center"/>
    </xf>
    <xf numFmtId="166" fontId="11" fillId="0" borderId="1" xfId="4" applyNumberFormat="1" applyFont="1" applyFill="1" applyBorder="1" applyAlignment="1">
      <alignment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center" wrapText="1"/>
    </xf>
    <xf numFmtId="0" fontId="11" fillId="0" borderId="0" xfId="0" applyFont="1" applyFill="1" applyAlignment="1">
      <alignment horizontal="right" vertical="center"/>
    </xf>
    <xf numFmtId="0" fontId="22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justify" vertical="center"/>
    </xf>
    <xf numFmtId="0" fontId="23" fillId="0" borderId="0" xfId="0" applyFont="1" applyFill="1" applyAlignment="1">
      <alignment vertical="center" wrapText="1"/>
    </xf>
    <xf numFmtId="0" fontId="24" fillId="0" borderId="0" xfId="0" applyFont="1" applyFill="1" applyAlignment="1">
      <alignment vertical="center" wrapText="1"/>
    </xf>
    <xf numFmtId="0" fontId="17" fillId="0" borderId="0" xfId="0" applyFont="1" applyFill="1"/>
    <xf numFmtId="0" fontId="11" fillId="0" borderId="1" xfId="1" applyNumberFormat="1" applyFont="1" applyFill="1" applyBorder="1" applyAlignment="1">
      <alignment horizontal="justify" vertical="center" wrapText="1"/>
    </xf>
    <xf numFmtId="164" fontId="11" fillId="0" borderId="1" xfId="1" applyNumberFormat="1" applyFont="1" applyFill="1" applyBorder="1" applyAlignment="1">
      <alignment horizontal="left" vertical="center" wrapText="1"/>
    </xf>
    <xf numFmtId="49" fontId="11" fillId="0" borderId="1" xfId="1" applyNumberFormat="1" applyFont="1" applyFill="1" applyBorder="1" applyAlignment="1">
      <alignment horizontal="left" vertical="center" wrapText="1"/>
    </xf>
    <xf numFmtId="49" fontId="11" fillId="0" borderId="1" xfId="1" applyNumberFormat="1" applyFont="1" applyFill="1" applyBorder="1" applyAlignment="1">
      <alignment horizontal="justify" vertical="center"/>
    </xf>
    <xf numFmtId="167" fontId="16" fillId="0" borderId="0" xfId="0" applyNumberFormat="1" applyFont="1" applyFill="1"/>
    <xf numFmtId="0" fontId="16" fillId="0" borderId="0" xfId="0" applyFont="1" applyFill="1" applyAlignment="1">
      <alignment horizontal="left"/>
    </xf>
    <xf numFmtId="0" fontId="25" fillId="0" borderId="0" xfId="0" applyFont="1" applyFill="1"/>
    <xf numFmtId="0" fontId="11" fillId="0" borderId="1" xfId="0" applyNumberFormat="1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11" fillId="0" borderId="1" xfId="1" applyNumberFormat="1" applyFont="1" applyFill="1" applyBorder="1" applyAlignment="1">
      <alignment horizontal="left" vertical="top" wrapText="1"/>
    </xf>
    <xf numFmtId="0" fontId="11" fillId="0" borderId="0" xfId="0" applyFont="1" applyFill="1" applyAlignment="1">
      <alignment horizontal="center"/>
    </xf>
    <xf numFmtId="0" fontId="26" fillId="0" borderId="0" xfId="0" applyFont="1" applyFill="1"/>
    <xf numFmtId="0" fontId="13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0" fontId="11" fillId="0" borderId="1" xfId="4" applyFont="1" applyFill="1" applyBorder="1" applyAlignment="1">
      <alignment horizontal="center" wrapText="1"/>
    </xf>
    <xf numFmtId="0" fontId="11" fillId="0" borderId="0" xfId="0" applyFont="1" applyFill="1" applyAlignment="1">
      <alignment horizontal="justify" vertical="center"/>
    </xf>
    <xf numFmtId="167" fontId="12" fillId="0" borderId="1" xfId="4" applyNumberFormat="1" applyFont="1" applyFill="1" applyBorder="1" applyAlignment="1">
      <alignment horizontal="center" wrapText="1"/>
    </xf>
    <xf numFmtId="0" fontId="27" fillId="0" borderId="0" xfId="0" applyFont="1" applyFill="1"/>
    <xf numFmtId="0" fontId="11" fillId="0" borderId="0" xfId="0" applyFont="1" applyFill="1" applyAlignment="1">
      <alignment horizontal="right" vertical="center" wrapText="1"/>
    </xf>
    <xf numFmtId="0" fontId="11" fillId="0" borderId="0" xfId="0" applyFont="1" applyFill="1" applyAlignment="1">
      <alignment horizontal="justify" vertical="center" wrapText="1"/>
    </xf>
    <xf numFmtId="0" fontId="15" fillId="0" borderId="1" xfId="0" applyFont="1" applyFill="1" applyBorder="1" applyAlignment="1">
      <alignment horizontal="center" vertical="center"/>
    </xf>
    <xf numFmtId="164" fontId="12" fillId="0" borderId="1" xfId="1" applyNumberFormat="1" applyFont="1" applyFill="1" applyBorder="1" applyAlignment="1">
      <alignment horizontal="justify" vertical="center"/>
    </xf>
    <xf numFmtId="0" fontId="11" fillId="0" borderId="1" xfId="0" applyFont="1" applyFill="1" applyBorder="1" applyAlignment="1">
      <alignment horizontal="justify" vertical="center"/>
    </xf>
    <xf numFmtId="164" fontId="12" fillId="0" borderId="1" xfId="1" applyNumberFormat="1" applyFont="1" applyFill="1" applyBorder="1" applyAlignment="1">
      <alignment horizontal="justify" vertical="center" wrapText="1"/>
    </xf>
    <xf numFmtId="164" fontId="11" fillId="0" borderId="1" xfId="1" applyNumberFormat="1" applyFont="1" applyFill="1" applyBorder="1" applyAlignment="1">
      <alignment horizontal="justify" vertical="center" wrapText="1"/>
    </xf>
    <xf numFmtId="167" fontId="11" fillId="0" borderId="1" xfId="1" applyNumberFormat="1" applyFont="1" applyFill="1" applyBorder="1" applyAlignment="1">
      <alignment horizontal="justify" vertical="center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28" fillId="0" borderId="0" xfId="0" applyFont="1" applyFill="1"/>
    <xf numFmtId="0" fontId="29" fillId="0" borderId="0" xfId="0" applyFont="1" applyFill="1"/>
    <xf numFmtId="164" fontId="11" fillId="0" borderId="1" xfId="1" applyNumberFormat="1" applyFont="1" applyFill="1" applyBorder="1" applyAlignment="1">
      <alignment horizontal="right" vertical="center"/>
    </xf>
    <xf numFmtId="0" fontId="30" fillId="0" borderId="0" xfId="0" applyFont="1" applyFill="1"/>
    <xf numFmtId="167" fontId="30" fillId="0" borderId="0" xfId="0" applyNumberFormat="1" applyFont="1" applyFill="1"/>
    <xf numFmtId="167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/>
    <xf numFmtId="0" fontId="11" fillId="0" borderId="1" xfId="0" applyFont="1" applyFill="1" applyBorder="1"/>
    <xf numFmtId="0" fontId="11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 wrapText="1"/>
    </xf>
    <xf numFmtId="16" fontId="12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1" fillId="0" borderId="1" xfId="4" applyFont="1" applyFill="1" applyBorder="1" applyAlignment="1">
      <alignment horizontal="center" vertical="center" wrapText="1"/>
    </xf>
    <xf numFmtId="0" fontId="11" fillId="0" borderId="10" xfId="4" applyFont="1" applyFill="1" applyBorder="1" applyAlignment="1">
      <alignment horizontal="center" vertical="center" wrapText="1"/>
    </xf>
    <xf numFmtId="0" fontId="11" fillId="0" borderId="2" xfId="4" applyFont="1" applyFill="1" applyBorder="1" applyAlignment="1">
      <alignment horizontal="center" vertical="center" wrapText="1"/>
    </xf>
    <xf numFmtId="0" fontId="11" fillId="0" borderId="11" xfId="4" applyFont="1" applyFill="1" applyBorder="1" applyAlignment="1">
      <alignment horizontal="center" vertical="center" wrapText="1"/>
    </xf>
    <xf numFmtId="0" fontId="11" fillId="0" borderId="7" xfId="4" applyFont="1" applyFill="1" applyBorder="1" applyAlignment="1">
      <alignment horizontal="center" vertical="center" wrapText="1"/>
    </xf>
    <xf numFmtId="0" fontId="11" fillId="0" borderId="0" xfId="4" applyFont="1" applyFill="1" applyBorder="1" applyAlignment="1">
      <alignment horizontal="center" vertical="center" wrapText="1"/>
    </xf>
    <xf numFmtId="0" fontId="11" fillId="0" borderId="8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vertical="center" wrapText="1"/>
    </xf>
    <xf numFmtId="0" fontId="11" fillId="0" borderId="4" xfId="4" applyFont="1" applyFill="1" applyBorder="1" applyAlignment="1">
      <alignment horizontal="center" vertical="center" wrapText="1"/>
    </xf>
    <xf numFmtId="0" fontId="11" fillId="0" borderId="12" xfId="4" applyFont="1" applyFill="1" applyBorder="1" applyAlignment="1">
      <alignment horizontal="center" vertical="center" wrapText="1"/>
    </xf>
    <xf numFmtId="169" fontId="16" fillId="0" borderId="0" xfId="4" applyNumberFormat="1" applyFont="1" applyFill="1" applyBorder="1" applyAlignment="1">
      <alignment horizontal="center" wrapText="1"/>
    </xf>
    <xf numFmtId="0" fontId="11" fillId="0" borderId="1" xfId="4" applyFont="1" applyFill="1" applyBorder="1" applyAlignment="1">
      <alignment horizontal="center" wrapText="1"/>
    </xf>
    <xf numFmtId="0" fontId="12" fillId="0" borderId="10" xfId="4" applyFont="1" applyFill="1" applyBorder="1" applyAlignment="1">
      <alignment horizontal="left" vertical="top" wrapText="1"/>
    </xf>
    <xf numFmtId="0" fontId="12" fillId="0" borderId="2" xfId="4" applyFont="1" applyFill="1" applyBorder="1" applyAlignment="1">
      <alignment horizontal="left" vertical="top" wrapText="1"/>
    </xf>
    <xf numFmtId="0" fontId="12" fillId="0" borderId="11" xfId="4" applyFont="1" applyFill="1" applyBorder="1" applyAlignment="1">
      <alignment horizontal="left" vertical="top" wrapText="1"/>
    </xf>
    <xf numFmtId="0" fontId="12" fillId="0" borderId="7" xfId="4" applyFont="1" applyFill="1" applyBorder="1" applyAlignment="1">
      <alignment horizontal="left" vertical="top" wrapText="1"/>
    </xf>
    <xf numFmtId="0" fontId="12" fillId="0" borderId="0" xfId="4" applyFont="1" applyFill="1" applyBorder="1" applyAlignment="1">
      <alignment horizontal="left" vertical="top" wrapText="1"/>
    </xf>
    <xf numFmtId="0" fontId="12" fillId="0" borderId="8" xfId="4" applyFont="1" applyFill="1" applyBorder="1" applyAlignment="1">
      <alignment horizontal="left" vertical="top" wrapText="1"/>
    </xf>
    <xf numFmtId="0" fontId="12" fillId="0" borderId="3" xfId="4" applyFont="1" applyFill="1" applyBorder="1" applyAlignment="1">
      <alignment horizontal="left" vertical="top" wrapText="1"/>
    </xf>
    <xf numFmtId="0" fontId="12" fillId="0" borderId="4" xfId="4" applyFont="1" applyFill="1" applyBorder="1" applyAlignment="1">
      <alignment horizontal="left" vertical="top" wrapText="1"/>
    </xf>
    <xf numFmtId="0" fontId="12" fillId="0" borderId="12" xfId="4" applyFont="1" applyFill="1" applyBorder="1" applyAlignment="1">
      <alignment horizontal="left" vertical="top" wrapText="1"/>
    </xf>
    <xf numFmtId="0" fontId="11" fillId="0" borderId="5" xfId="4" applyFont="1" applyFill="1" applyBorder="1" applyAlignment="1">
      <alignment horizontal="center" wrapText="1"/>
    </xf>
    <xf numFmtId="0" fontId="11" fillId="0" borderId="6" xfId="4" applyFont="1" applyFill="1" applyBorder="1" applyAlignment="1">
      <alignment horizontal="center" wrapText="1"/>
    </xf>
    <xf numFmtId="0" fontId="11" fillId="0" borderId="9" xfId="4" applyFont="1" applyFill="1" applyBorder="1" applyAlignment="1">
      <alignment horizontal="center" wrapText="1"/>
    </xf>
    <xf numFmtId="0" fontId="11" fillId="0" borderId="10" xfId="4" applyFont="1" applyFill="1" applyBorder="1" applyAlignment="1">
      <alignment horizontal="center" wrapText="1"/>
    </xf>
    <xf numFmtId="0" fontId="11" fillId="0" borderId="2" xfId="4" applyFont="1" applyFill="1" applyBorder="1" applyAlignment="1">
      <alignment horizontal="center" wrapText="1"/>
    </xf>
    <xf numFmtId="0" fontId="11" fillId="0" borderId="11" xfId="4" applyFont="1" applyFill="1" applyBorder="1" applyAlignment="1">
      <alignment horizontal="center" wrapText="1"/>
    </xf>
    <xf numFmtId="0" fontId="11" fillId="0" borderId="7" xfId="4" applyFont="1" applyFill="1" applyBorder="1" applyAlignment="1">
      <alignment horizontal="center" wrapText="1"/>
    </xf>
    <xf numFmtId="0" fontId="11" fillId="0" borderId="0" xfId="4" applyFont="1" applyFill="1" applyBorder="1" applyAlignment="1">
      <alignment horizontal="center" wrapText="1"/>
    </xf>
    <xf numFmtId="0" fontId="11" fillId="0" borderId="8" xfId="4" applyFont="1" applyFill="1" applyBorder="1" applyAlignment="1">
      <alignment horizontal="center" wrapText="1"/>
    </xf>
    <xf numFmtId="0" fontId="11" fillId="0" borderId="3" xfId="4" applyFont="1" applyFill="1" applyBorder="1" applyAlignment="1">
      <alignment horizontal="center" wrapText="1"/>
    </xf>
    <xf numFmtId="0" fontId="11" fillId="0" borderId="4" xfId="4" applyFont="1" applyFill="1" applyBorder="1" applyAlignment="1">
      <alignment horizontal="center" wrapText="1"/>
    </xf>
    <xf numFmtId="0" fontId="11" fillId="0" borderId="12" xfId="4" applyFont="1" applyFill="1" applyBorder="1" applyAlignment="1">
      <alignment horizontal="center" wrapText="1"/>
    </xf>
    <xf numFmtId="168" fontId="11" fillId="0" borderId="5" xfId="1" applyNumberFormat="1" applyFont="1" applyFill="1" applyBorder="1" applyAlignment="1">
      <alignment horizontal="center" vertical="center"/>
    </xf>
    <xf numFmtId="168" fontId="11" fillId="0" borderId="6" xfId="1" applyNumberFormat="1" applyFont="1" applyFill="1" applyBorder="1" applyAlignment="1">
      <alignment horizontal="center" vertical="center"/>
    </xf>
    <xf numFmtId="168" fontId="11" fillId="0" borderId="9" xfId="1" applyNumberFormat="1" applyFont="1" applyFill="1" applyBorder="1" applyAlignment="1">
      <alignment horizontal="center" vertical="center"/>
    </xf>
    <xf numFmtId="166" fontId="11" fillId="0" borderId="5" xfId="4" applyNumberFormat="1" applyFont="1" applyFill="1" applyBorder="1" applyAlignment="1">
      <alignment horizontal="center" vertical="center" wrapText="1"/>
    </xf>
    <xf numFmtId="166" fontId="11" fillId="0" borderId="6" xfId="4" applyNumberFormat="1" applyFont="1" applyFill="1" applyBorder="1" applyAlignment="1">
      <alignment horizontal="center" vertical="center" wrapText="1"/>
    </xf>
    <xf numFmtId="166" fontId="11" fillId="0" borderId="9" xfId="4" applyNumberFormat="1" applyFont="1" applyFill="1" applyBorder="1" applyAlignment="1">
      <alignment horizontal="center" vertical="center" wrapText="1"/>
    </xf>
    <xf numFmtId="0" fontId="11" fillId="0" borderId="1" xfId="4" applyNumberFormat="1" applyFont="1" applyFill="1" applyBorder="1" applyAlignment="1">
      <alignment horizontal="center" vertical="center" wrapText="1"/>
    </xf>
    <xf numFmtId="0" fontId="11" fillId="0" borderId="5" xfId="4" applyFont="1" applyFill="1" applyBorder="1" applyAlignment="1">
      <alignment horizontal="center" vertical="center" wrapText="1"/>
    </xf>
    <xf numFmtId="0" fontId="11" fillId="0" borderId="6" xfId="4" applyFont="1" applyFill="1" applyBorder="1" applyAlignment="1">
      <alignment horizontal="center" vertical="center" wrapText="1"/>
    </xf>
    <xf numFmtId="0" fontId="11" fillId="0" borderId="9" xfId="4" applyFont="1" applyFill="1" applyBorder="1" applyAlignment="1">
      <alignment horizontal="center" vertical="center" wrapText="1"/>
    </xf>
    <xf numFmtId="168" fontId="11" fillId="0" borderId="5" xfId="4" applyNumberFormat="1" applyFont="1" applyFill="1" applyBorder="1" applyAlignment="1">
      <alignment horizontal="center" vertical="center" wrapText="1"/>
    </xf>
    <xf numFmtId="168" fontId="11" fillId="0" borderId="6" xfId="4" applyNumberFormat="1" applyFont="1" applyFill="1" applyBorder="1" applyAlignment="1">
      <alignment horizontal="center" vertical="center" wrapText="1"/>
    </xf>
    <xf numFmtId="168" fontId="11" fillId="0" borderId="9" xfId="4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70" fontId="13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top" wrapText="1"/>
    </xf>
    <xf numFmtId="0" fontId="12" fillId="0" borderId="6" xfId="0" applyFont="1" applyFill="1" applyBorder="1" applyAlignment="1">
      <alignment horizontal="center" vertical="top"/>
    </xf>
    <xf numFmtId="0" fontId="12" fillId="0" borderId="9" xfId="0" applyFont="1" applyFill="1" applyBorder="1" applyAlignment="1">
      <alignment horizontal="center" vertical="top"/>
    </xf>
  </cellXfs>
  <cellStyles count="13">
    <cellStyle name="Обычный" xfId="0" builtinId="0"/>
    <cellStyle name="Обычный 2" xfId="3"/>
    <cellStyle name="Обычный 2 2" xfId="5"/>
    <cellStyle name="Обычный 2 4" xfId="12"/>
    <cellStyle name="Обычный 3" xfId="4"/>
    <cellStyle name="Обычный 4" xfId="2"/>
    <cellStyle name="Финансовый" xfId="1" builtinId="3"/>
    <cellStyle name="Финансовый 2" xfId="8"/>
    <cellStyle name="Финансовый 2 2" xfId="6"/>
    <cellStyle name="Финансовый 2 2 2" xfId="7"/>
    <cellStyle name="Финансовый 2 2 3" xfId="9"/>
    <cellStyle name="Финансовый 3" xfId="10"/>
    <cellStyle name="Финансовый 4" xfId="11"/>
  </cellStyles>
  <dxfs count="0"/>
  <tableStyles count="0" defaultTableStyle="TableStyleMedium2" defaultPivotStyle="PivotStyleLight16"/>
  <colors>
    <mruColors>
      <color rgb="FF0000FF"/>
      <color rgb="FFFFCCCC"/>
      <color rgb="FFFF99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M202"/>
  <sheetViews>
    <sheetView tabSelected="1" topLeftCell="A65" zoomScale="85" zoomScaleNormal="85" zoomScaleSheetLayoutView="90" workbookViewId="0">
      <selection activeCell="B88" sqref="B88:B94"/>
    </sheetView>
  </sheetViews>
  <sheetFormatPr defaultColWidth="9.140625" defaultRowHeight="15" x14ac:dyDescent="0.25"/>
  <cols>
    <col min="1" max="1" width="15" style="59" customWidth="1"/>
    <col min="2" max="2" width="40.28515625" style="54" customWidth="1"/>
    <col min="3" max="3" width="28.7109375" style="16" customWidth="1"/>
    <col min="4" max="4" width="34.85546875" style="16" customWidth="1"/>
    <col min="5" max="5" width="17.85546875" style="16" customWidth="1"/>
    <col min="6" max="6" width="19.140625" style="16" customWidth="1"/>
    <col min="7" max="9" width="20.85546875" style="16" customWidth="1"/>
    <col min="10" max="10" width="19.28515625" style="16" customWidth="1"/>
    <col min="11" max="11" width="9.140625" style="16"/>
    <col min="12" max="12" width="25.140625" style="16" bestFit="1" customWidth="1"/>
    <col min="13" max="16384" width="9.140625" style="16"/>
  </cols>
  <sheetData>
    <row r="1" spans="1:10" ht="15.75" customHeight="1" x14ac:dyDescent="0.25">
      <c r="A1" s="105"/>
      <c r="B1" s="105"/>
      <c r="C1" s="105"/>
      <c r="D1" s="105"/>
      <c r="E1" s="105"/>
      <c r="F1" s="105"/>
      <c r="G1" s="105"/>
      <c r="H1" s="105"/>
      <c r="I1" s="105"/>
      <c r="J1" s="105"/>
    </row>
    <row r="2" spans="1:10" ht="15.75" customHeight="1" x14ac:dyDescent="0.25">
      <c r="A2" s="78"/>
      <c r="B2" s="78"/>
      <c r="C2" s="78"/>
      <c r="D2" s="78"/>
      <c r="E2" s="78"/>
      <c r="F2" s="78"/>
      <c r="G2" s="78"/>
      <c r="H2" s="78"/>
      <c r="I2" s="78" t="s">
        <v>42</v>
      </c>
      <c r="J2" s="78"/>
    </row>
    <row r="3" spans="1:10" ht="15.75" customHeight="1" x14ac:dyDescent="0.25">
      <c r="A3" s="95" t="s">
        <v>122</v>
      </c>
      <c r="B3" s="95"/>
      <c r="C3" s="95"/>
      <c r="D3" s="95"/>
      <c r="E3" s="95"/>
      <c r="F3" s="95"/>
      <c r="G3" s="95"/>
      <c r="H3" s="95"/>
      <c r="I3" s="95"/>
      <c r="J3" s="95"/>
    </row>
    <row r="4" spans="1:10" ht="15.75" customHeight="1" x14ac:dyDescent="0.25">
      <c r="A4" s="78"/>
      <c r="B4" s="78"/>
      <c r="C4" s="78"/>
      <c r="D4" s="78"/>
      <c r="E4" s="78"/>
      <c r="F4" s="78"/>
      <c r="G4" s="78"/>
      <c r="H4" s="78"/>
      <c r="I4" s="78"/>
      <c r="J4" s="78"/>
    </row>
    <row r="5" spans="1:10" ht="15.75" customHeight="1" x14ac:dyDescent="0.25">
      <c r="A5" s="99" t="s">
        <v>38</v>
      </c>
      <c r="B5" s="93" t="s">
        <v>119</v>
      </c>
      <c r="C5" s="93" t="s">
        <v>80</v>
      </c>
      <c r="D5" s="93" t="s">
        <v>2</v>
      </c>
      <c r="E5" s="93" t="s">
        <v>81</v>
      </c>
      <c r="F5" s="93"/>
      <c r="G5" s="93"/>
      <c r="H5" s="93"/>
      <c r="I5" s="93"/>
      <c r="J5" s="93"/>
    </row>
    <row r="6" spans="1:10" x14ac:dyDescent="0.25">
      <c r="A6" s="99"/>
      <c r="B6" s="93"/>
      <c r="C6" s="93"/>
      <c r="D6" s="93"/>
      <c r="E6" s="93" t="s">
        <v>35</v>
      </c>
      <c r="F6" s="93"/>
      <c r="G6" s="93"/>
      <c r="H6" s="93"/>
      <c r="I6" s="93"/>
      <c r="J6" s="93"/>
    </row>
    <row r="7" spans="1:10" ht="15" customHeight="1" x14ac:dyDescent="0.25">
      <c r="A7" s="99"/>
      <c r="B7" s="93"/>
      <c r="C7" s="93"/>
      <c r="D7" s="93"/>
      <c r="E7" s="79" t="s">
        <v>3</v>
      </c>
      <c r="F7" s="79" t="s">
        <v>60</v>
      </c>
      <c r="G7" s="79" t="s">
        <v>61</v>
      </c>
      <c r="H7" s="79" t="s">
        <v>106</v>
      </c>
      <c r="I7" s="79" t="s">
        <v>107</v>
      </c>
      <c r="J7" s="79" t="s">
        <v>108</v>
      </c>
    </row>
    <row r="8" spans="1:10" ht="44.25" customHeight="1" x14ac:dyDescent="0.25">
      <c r="A8" s="69">
        <v>1</v>
      </c>
      <c r="B8" s="69">
        <v>2</v>
      </c>
      <c r="C8" s="69">
        <v>3</v>
      </c>
      <c r="D8" s="69">
        <v>4</v>
      </c>
      <c r="E8" s="69">
        <v>5</v>
      </c>
      <c r="F8" s="69">
        <v>6</v>
      </c>
      <c r="G8" s="69">
        <v>7</v>
      </c>
      <c r="H8" s="69">
        <v>8</v>
      </c>
      <c r="I8" s="69">
        <v>9</v>
      </c>
      <c r="J8" s="69">
        <v>10</v>
      </c>
    </row>
    <row r="9" spans="1:10" s="55" customFormat="1" ht="21.75" customHeight="1" x14ac:dyDescent="0.2">
      <c r="A9" s="91" t="s">
        <v>170</v>
      </c>
      <c r="B9" s="91"/>
      <c r="C9" s="91"/>
      <c r="D9" s="91"/>
      <c r="E9" s="91"/>
      <c r="F9" s="91"/>
      <c r="G9" s="91"/>
      <c r="H9" s="91"/>
      <c r="I9" s="91"/>
      <c r="J9" s="91"/>
    </row>
    <row r="10" spans="1:10" s="55" customFormat="1" ht="13.5" customHeight="1" x14ac:dyDescent="0.2">
      <c r="A10" s="101" t="s">
        <v>41</v>
      </c>
      <c r="B10" s="94" t="s">
        <v>136</v>
      </c>
      <c r="C10" s="100" t="s">
        <v>1</v>
      </c>
      <c r="D10" s="80" t="s">
        <v>3</v>
      </c>
      <c r="E10" s="70">
        <f t="shared" ref="E10:E58" si="0">SUM(F10:J10)</f>
        <v>0</v>
      </c>
      <c r="F10" s="70">
        <f>SUM(F11:F16)</f>
        <v>0</v>
      </c>
      <c r="G10" s="70">
        <f t="shared" ref="G10:H10" si="1">SUM(G11:G16)</f>
        <v>0</v>
      </c>
      <c r="H10" s="70">
        <f t="shared" si="1"/>
        <v>0</v>
      </c>
      <c r="I10" s="70">
        <v>0</v>
      </c>
      <c r="J10" s="70">
        <v>0</v>
      </c>
    </row>
    <row r="11" spans="1:10" x14ac:dyDescent="0.25">
      <c r="A11" s="101"/>
      <c r="B11" s="94"/>
      <c r="C11" s="100"/>
      <c r="D11" s="80" t="s">
        <v>4</v>
      </c>
      <c r="E11" s="70">
        <f t="shared" si="0"/>
        <v>0</v>
      </c>
      <c r="F11" s="39"/>
      <c r="G11" s="39">
        <v>0</v>
      </c>
      <c r="H11" s="39">
        <v>0</v>
      </c>
      <c r="I11" s="39">
        <v>0</v>
      </c>
      <c r="J11" s="39">
        <v>0</v>
      </c>
    </row>
    <row r="12" spans="1:10" x14ac:dyDescent="0.25">
      <c r="A12" s="101"/>
      <c r="B12" s="94"/>
      <c r="C12" s="100"/>
      <c r="D12" s="80" t="s">
        <v>5</v>
      </c>
      <c r="E12" s="70">
        <f t="shared" si="0"/>
        <v>0</v>
      </c>
      <c r="F12" s="39"/>
      <c r="G12" s="39">
        <v>0</v>
      </c>
      <c r="H12" s="39">
        <v>0</v>
      </c>
      <c r="I12" s="39">
        <v>0</v>
      </c>
      <c r="J12" s="39">
        <v>0</v>
      </c>
    </row>
    <row r="13" spans="1:10" x14ac:dyDescent="0.25">
      <c r="A13" s="101"/>
      <c r="B13" s="94"/>
      <c r="C13" s="100"/>
      <c r="D13" s="80" t="s">
        <v>6</v>
      </c>
      <c r="E13" s="70">
        <f t="shared" si="0"/>
        <v>0</v>
      </c>
      <c r="F13" s="39"/>
      <c r="G13" s="39">
        <v>0</v>
      </c>
      <c r="H13" s="39">
        <v>0</v>
      </c>
      <c r="I13" s="39">
        <v>0</v>
      </c>
      <c r="J13" s="39">
        <v>0</v>
      </c>
    </row>
    <row r="14" spans="1:10" ht="30" x14ac:dyDescent="0.25">
      <c r="A14" s="101"/>
      <c r="B14" s="94"/>
      <c r="C14" s="100"/>
      <c r="D14" s="80" t="s">
        <v>43</v>
      </c>
      <c r="E14" s="70">
        <f t="shared" si="0"/>
        <v>0</v>
      </c>
      <c r="F14" s="39">
        <v>0</v>
      </c>
      <c r="G14" s="39">
        <v>0</v>
      </c>
      <c r="H14" s="39">
        <v>0</v>
      </c>
      <c r="I14" s="39">
        <v>0</v>
      </c>
      <c r="J14" s="39">
        <v>0</v>
      </c>
    </row>
    <row r="15" spans="1:10" x14ac:dyDescent="0.25">
      <c r="A15" s="101"/>
      <c r="B15" s="94"/>
      <c r="C15" s="100"/>
      <c r="D15" s="80" t="s">
        <v>44</v>
      </c>
      <c r="E15" s="70">
        <f t="shared" si="0"/>
        <v>0</v>
      </c>
      <c r="F15" s="39">
        <v>0</v>
      </c>
      <c r="G15" s="39">
        <v>0</v>
      </c>
      <c r="H15" s="39">
        <v>0</v>
      </c>
      <c r="I15" s="39">
        <v>0</v>
      </c>
      <c r="J15" s="39">
        <v>0</v>
      </c>
    </row>
    <row r="16" spans="1:10" x14ac:dyDescent="0.25">
      <c r="A16" s="101"/>
      <c r="B16" s="94"/>
      <c r="C16" s="100"/>
      <c r="D16" s="80" t="s">
        <v>7</v>
      </c>
      <c r="E16" s="70"/>
      <c r="F16" s="39"/>
      <c r="G16" s="39"/>
      <c r="H16" s="39"/>
      <c r="I16" s="39"/>
      <c r="J16" s="39"/>
    </row>
    <row r="17" spans="1:10" ht="15" customHeight="1" x14ac:dyDescent="0.25">
      <c r="A17" s="91" t="s">
        <v>63</v>
      </c>
      <c r="B17" s="94" t="s">
        <v>137</v>
      </c>
      <c r="C17" s="100" t="s">
        <v>1</v>
      </c>
      <c r="D17" s="80" t="s">
        <v>3</v>
      </c>
      <c r="E17" s="70">
        <f>E18+E19+E20+E23</f>
        <v>1209.4000000000001</v>
      </c>
      <c r="F17" s="70">
        <f t="shared" ref="F17:I17" si="2">F18+F19+F20+F23</f>
        <v>562.79999999999995</v>
      </c>
      <c r="G17" s="70">
        <f t="shared" si="2"/>
        <v>646.6</v>
      </c>
      <c r="H17" s="70">
        <f t="shared" si="2"/>
        <v>0</v>
      </c>
      <c r="I17" s="70">
        <f t="shared" si="2"/>
        <v>0</v>
      </c>
      <c r="J17" s="70">
        <f>J18+J19+J20+J23</f>
        <v>0</v>
      </c>
    </row>
    <row r="18" spans="1:10" x14ac:dyDescent="0.25">
      <c r="A18" s="91"/>
      <c r="B18" s="94"/>
      <c r="C18" s="100"/>
      <c r="D18" s="80" t="s">
        <v>4</v>
      </c>
      <c r="E18" s="70"/>
      <c r="F18" s="39"/>
      <c r="G18" s="39"/>
      <c r="H18" s="39"/>
      <c r="I18" s="39"/>
      <c r="J18" s="39"/>
    </row>
    <row r="19" spans="1:10" x14ac:dyDescent="0.25">
      <c r="A19" s="91"/>
      <c r="B19" s="94"/>
      <c r="C19" s="100"/>
      <c r="D19" s="80" t="s">
        <v>5</v>
      </c>
      <c r="E19" s="70"/>
      <c r="F19" s="39"/>
      <c r="G19" s="39"/>
      <c r="H19" s="39"/>
      <c r="I19" s="39"/>
      <c r="J19" s="39"/>
    </row>
    <row r="20" spans="1:10" x14ac:dyDescent="0.25">
      <c r="A20" s="91"/>
      <c r="B20" s="94"/>
      <c r="C20" s="100"/>
      <c r="D20" s="80" t="s">
        <v>6</v>
      </c>
      <c r="E20" s="70">
        <f>F20+G20+H20+I20+J20</f>
        <v>1209.4000000000001</v>
      </c>
      <c r="F20" s="39">
        <v>562.79999999999995</v>
      </c>
      <c r="G20" s="39">
        <f>562+84.6</f>
        <v>646.6</v>
      </c>
      <c r="H20" s="39"/>
      <c r="I20" s="39"/>
      <c r="J20" s="39"/>
    </row>
    <row r="21" spans="1:10" ht="30" x14ac:dyDescent="0.25">
      <c r="A21" s="91"/>
      <c r="B21" s="94"/>
      <c r="C21" s="100"/>
      <c r="D21" s="80" t="s">
        <v>43</v>
      </c>
      <c r="E21" s="70">
        <f t="shared" ref="E21:E23" si="3">F21+G21+H21+I21+J21</f>
        <v>0</v>
      </c>
      <c r="F21" s="39"/>
      <c r="G21" s="39"/>
      <c r="H21" s="39"/>
      <c r="I21" s="39"/>
      <c r="J21" s="39"/>
    </row>
    <row r="22" spans="1:10" x14ac:dyDescent="0.25">
      <c r="A22" s="91"/>
      <c r="B22" s="94"/>
      <c r="C22" s="100"/>
      <c r="D22" s="80" t="s">
        <v>44</v>
      </c>
      <c r="E22" s="70">
        <f t="shared" si="3"/>
        <v>0</v>
      </c>
      <c r="F22" s="39"/>
      <c r="G22" s="39"/>
      <c r="H22" s="39"/>
      <c r="I22" s="39"/>
      <c r="J22" s="39"/>
    </row>
    <row r="23" spans="1:10" x14ac:dyDescent="0.25">
      <c r="A23" s="91"/>
      <c r="B23" s="94"/>
      <c r="C23" s="100"/>
      <c r="D23" s="80" t="s">
        <v>7</v>
      </c>
      <c r="E23" s="70">
        <f t="shared" si="3"/>
        <v>0</v>
      </c>
      <c r="F23" s="39">
        <f>250-250</f>
        <v>0</v>
      </c>
      <c r="G23" s="39">
        <f>287-287</f>
        <v>0</v>
      </c>
      <c r="H23" s="39">
        <f>250-250</f>
        <v>0</v>
      </c>
      <c r="I23" s="39">
        <f>250-250</f>
        <v>0</v>
      </c>
      <c r="J23" s="39">
        <f>1000-1000</f>
        <v>0</v>
      </c>
    </row>
    <row r="24" spans="1:10" x14ac:dyDescent="0.25">
      <c r="A24" s="91" t="s">
        <v>67</v>
      </c>
      <c r="B24" s="94" t="s">
        <v>133</v>
      </c>
      <c r="C24" s="100" t="s">
        <v>128</v>
      </c>
      <c r="D24" s="80" t="s">
        <v>3</v>
      </c>
      <c r="E24" s="70">
        <f>E25+E26+E27+E28+E29+E30</f>
        <v>65</v>
      </c>
      <c r="F24" s="70">
        <f t="shared" ref="F24:J24" si="4">F25+F26+F27+F28+F29+F30</f>
        <v>0</v>
      </c>
      <c r="G24" s="70">
        <f t="shared" si="4"/>
        <v>65</v>
      </c>
      <c r="H24" s="70">
        <f t="shared" si="4"/>
        <v>0</v>
      </c>
      <c r="I24" s="70">
        <f t="shared" si="4"/>
        <v>0</v>
      </c>
      <c r="J24" s="70">
        <f t="shared" si="4"/>
        <v>0</v>
      </c>
    </row>
    <row r="25" spans="1:10" x14ac:dyDescent="0.25">
      <c r="A25" s="91"/>
      <c r="B25" s="94"/>
      <c r="C25" s="100"/>
      <c r="D25" s="80" t="s">
        <v>4</v>
      </c>
      <c r="E25" s="70">
        <f>F25+G25+H25+I25+J25</f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</row>
    <row r="26" spans="1:10" x14ac:dyDescent="0.25">
      <c r="A26" s="91"/>
      <c r="B26" s="94"/>
      <c r="C26" s="100"/>
      <c r="D26" s="80" t="s">
        <v>5</v>
      </c>
      <c r="E26" s="70">
        <f t="shared" ref="E26:E30" si="5">F26+G26+H26+I26+J26</f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</row>
    <row r="27" spans="1:10" x14ac:dyDescent="0.25">
      <c r="A27" s="91"/>
      <c r="B27" s="94"/>
      <c r="C27" s="100"/>
      <c r="D27" s="80" t="s">
        <v>6</v>
      </c>
      <c r="E27" s="70">
        <f t="shared" si="5"/>
        <v>65</v>
      </c>
      <c r="F27" s="39">
        <v>0</v>
      </c>
      <c r="G27" s="39">
        <f>295-230</f>
        <v>65</v>
      </c>
      <c r="H27" s="39">
        <v>0</v>
      </c>
      <c r="I27" s="39">
        <v>0</v>
      </c>
      <c r="J27" s="39">
        <v>0</v>
      </c>
    </row>
    <row r="28" spans="1:10" ht="30" x14ac:dyDescent="0.25">
      <c r="A28" s="91"/>
      <c r="B28" s="94"/>
      <c r="C28" s="100"/>
      <c r="D28" s="80" t="s">
        <v>43</v>
      </c>
      <c r="E28" s="70">
        <f t="shared" si="5"/>
        <v>0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</row>
    <row r="29" spans="1:10" x14ac:dyDescent="0.25">
      <c r="A29" s="91"/>
      <c r="B29" s="94"/>
      <c r="C29" s="100"/>
      <c r="D29" s="80" t="s">
        <v>44</v>
      </c>
      <c r="E29" s="70">
        <f t="shared" si="5"/>
        <v>0</v>
      </c>
      <c r="F29" s="39">
        <v>0</v>
      </c>
      <c r="G29" s="39">
        <v>0</v>
      </c>
      <c r="H29" s="39">
        <v>0</v>
      </c>
      <c r="I29" s="39">
        <v>0</v>
      </c>
      <c r="J29" s="39">
        <v>0</v>
      </c>
    </row>
    <row r="30" spans="1:10" x14ac:dyDescent="0.25">
      <c r="A30" s="91"/>
      <c r="B30" s="94"/>
      <c r="C30" s="100"/>
      <c r="D30" s="80" t="s">
        <v>7</v>
      </c>
      <c r="E30" s="70">
        <f t="shared" si="5"/>
        <v>0</v>
      </c>
      <c r="F30" s="39">
        <v>0</v>
      </c>
      <c r="G30" s="39">
        <v>0</v>
      </c>
      <c r="H30" s="39">
        <v>0</v>
      </c>
      <c r="I30" s="39">
        <v>0</v>
      </c>
      <c r="J30" s="39">
        <v>0</v>
      </c>
    </row>
    <row r="31" spans="1:10" x14ac:dyDescent="0.25">
      <c r="A31" s="96" t="s">
        <v>82</v>
      </c>
      <c r="B31" s="94" t="s">
        <v>134</v>
      </c>
      <c r="C31" s="100" t="s">
        <v>1</v>
      </c>
      <c r="D31" s="21" t="s">
        <v>3</v>
      </c>
      <c r="E31" s="70">
        <f t="shared" ref="E31:E37" si="6">SUM(F31:J31)</f>
        <v>0</v>
      </c>
      <c r="F31" s="70">
        <f t="shared" ref="F31:H31" si="7">SUM(F32:F37)</f>
        <v>0</v>
      </c>
      <c r="G31" s="70">
        <f t="shared" si="7"/>
        <v>0</v>
      </c>
      <c r="H31" s="70">
        <f t="shared" si="7"/>
        <v>0</v>
      </c>
      <c r="I31" s="70">
        <v>0</v>
      </c>
      <c r="J31" s="70">
        <v>0</v>
      </c>
    </row>
    <row r="32" spans="1:10" x14ac:dyDescent="0.25">
      <c r="A32" s="96"/>
      <c r="B32" s="94"/>
      <c r="C32" s="100"/>
      <c r="D32" s="80" t="s">
        <v>4</v>
      </c>
      <c r="E32" s="39">
        <f t="shared" si="6"/>
        <v>0</v>
      </c>
      <c r="F32" s="70">
        <v>0</v>
      </c>
      <c r="G32" s="70">
        <v>0</v>
      </c>
      <c r="H32" s="70">
        <v>0</v>
      </c>
      <c r="I32" s="70">
        <v>0</v>
      </c>
      <c r="J32" s="70">
        <v>0</v>
      </c>
    </row>
    <row r="33" spans="1:13" x14ac:dyDescent="0.25">
      <c r="A33" s="96"/>
      <c r="B33" s="94"/>
      <c r="C33" s="100"/>
      <c r="D33" s="80" t="s">
        <v>5</v>
      </c>
      <c r="E33" s="39">
        <f t="shared" si="6"/>
        <v>0</v>
      </c>
      <c r="F33" s="70">
        <v>0</v>
      </c>
      <c r="G33" s="70">
        <v>0</v>
      </c>
      <c r="H33" s="70">
        <v>0</v>
      </c>
      <c r="I33" s="70">
        <v>0</v>
      </c>
      <c r="J33" s="70">
        <v>0</v>
      </c>
    </row>
    <row r="34" spans="1:13" ht="18.75" x14ac:dyDescent="0.3">
      <c r="A34" s="96"/>
      <c r="B34" s="94"/>
      <c r="C34" s="100"/>
      <c r="D34" s="80" t="s">
        <v>6</v>
      </c>
      <c r="E34" s="39">
        <f>SUM(F34:J34)</f>
        <v>0</v>
      </c>
      <c r="F34" s="39">
        <f>1298-1137.38-160.62</f>
        <v>0</v>
      </c>
      <c r="G34" s="39">
        <f>1298-1298</f>
        <v>0</v>
      </c>
      <c r="H34" s="39">
        <f>1298-1298</f>
        <v>0</v>
      </c>
      <c r="I34" s="39">
        <f>1298-1298</f>
        <v>0</v>
      </c>
      <c r="J34" s="70">
        <f>7788-7788</f>
        <v>0</v>
      </c>
      <c r="K34" s="60"/>
      <c r="L34" s="60"/>
      <c r="M34" s="60"/>
    </row>
    <row r="35" spans="1:13" ht="30" x14ac:dyDescent="0.25">
      <c r="A35" s="96"/>
      <c r="B35" s="94"/>
      <c r="C35" s="100"/>
      <c r="D35" s="80" t="s">
        <v>45</v>
      </c>
      <c r="E35" s="39">
        <f t="shared" si="6"/>
        <v>0</v>
      </c>
      <c r="F35" s="70">
        <v>0</v>
      </c>
      <c r="G35" s="70">
        <v>0</v>
      </c>
      <c r="H35" s="70">
        <v>0</v>
      </c>
      <c r="I35" s="70">
        <v>0</v>
      </c>
      <c r="J35" s="70">
        <v>0</v>
      </c>
    </row>
    <row r="36" spans="1:13" x14ac:dyDescent="0.25">
      <c r="A36" s="96"/>
      <c r="B36" s="94"/>
      <c r="C36" s="100"/>
      <c r="D36" s="80" t="s">
        <v>44</v>
      </c>
      <c r="E36" s="39">
        <f t="shared" si="6"/>
        <v>0</v>
      </c>
      <c r="F36" s="70">
        <v>0</v>
      </c>
      <c r="G36" s="70">
        <v>0</v>
      </c>
      <c r="H36" s="70">
        <v>0</v>
      </c>
      <c r="I36" s="70">
        <v>0</v>
      </c>
      <c r="J36" s="70">
        <v>0</v>
      </c>
    </row>
    <row r="37" spans="1:13" ht="30" customHeight="1" x14ac:dyDescent="0.25">
      <c r="A37" s="96"/>
      <c r="B37" s="94"/>
      <c r="C37" s="100"/>
      <c r="D37" s="80" t="s">
        <v>7</v>
      </c>
      <c r="E37" s="39">
        <f t="shared" si="6"/>
        <v>0</v>
      </c>
      <c r="F37" s="39">
        <v>0</v>
      </c>
      <c r="G37" s="39">
        <v>0</v>
      </c>
      <c r="H37" s="39">
        <v>0</v>
      </c>
      <c r="I37" s="39">
        <v>0</v>
      </c>
      <c r="J37" s="39">
        <v>0</v>
      </c>
    </row>
    <row r="38" spans="1:13" ht="15" customHeight="1" x14ac:dyDescent="0.25">
      <c r="A38" s="91" t="s">
        <v>76</v>
      </c>
      <c r="B38" s="94" t="s">
        <v>138</v>
      </c>
      <c r="C38" s="97" t="s">
        <v>120</v>
      </c>
      <c r="D38" s="21" t="s">
        <v>3</v>
      </c>
      <c r="E38" s="70">
        <f t="shared" si="0"/>
        <v>32255.108519999998</v>
      </c>
      <c r="F38" s="70">
        <f t="shared" ref="F38:G38" si="8">SUM(F39:F44)</f>
        <v>13800.49252</v>
      </c>
      <c r="G38" s="70">
        <f t="shared" si="8"/>
        <v>18454.615999999998</v>
      </c>
      <c r="H38" s="70">
        <f>SUM(H39:H44)</f>
        <v>0</v>
      </c>
      <c r="I38" s="70">
        <f t="shared" ref="I38:J38" si="9">SUM(I39:I44)</f>
        <v>0</v>
      </c>
      <c r="J38" s="70">
        <f t="shared" si="9"/>
        <v>0</v>
      </c>
    </row>
    <row r="39" spans="1:13" x14ac:dyDescent="0.25">
      <c r="A39" s="91"/>
      <c r="B39" s="94"/>
      <c r="C39" s="97"/>
      <c r="D39" s="80" t="s">
        <v>4</v>
      </c>
      <c r="E39" s="39">
        <f t="shared" si="0"/>
        <v>0</v>
      </c>
      <c r="F39" s="39">
        <f t="shared" ref="F39:I44" si="10">F46+F53</f>
        <v>0</v>
      </c>
      <c r="G39" s="39">
        <f t="shared" si="10"/>
        <v>0</v>
      </c>
      <c r="H39" s="39">
        <f t="shared" si="10"/>
        <v>0</v>
      </c>
      <c r="I39" s="39">
        <v>0</v>
      </c>
      <c r="J39" s="39">
        <v>0</v>
      </c>
    </row>
    <row r="40" spans="1:13" x14ac:dyDescent="0.25">
      <c r="A40" s="91"/>
      <c r="B40" s="94"/>
      <c r="C40" s="97"/>
      <c r="D40" s="80" t="s">
        <v>5</v>
      </c>
      <c r="E40" s="39">
        <f t="shared" si="0"/>
        <v>6600</v>
      </c>
      <c r="F40" s="39">
        <f t="shared" si="10"/>
        <v>2700</v>
      </c>
      <c r="G40" s="39">
        <f t="shared" si="10"/>
        <v>3900</v>
      </c>
      <c r="H40" s="39">
        <f t="shared" si="10"/>
        <v>0</v>
      </c>
      <c r="I40" s="39">
        <v>0</v>
      </c>
      <c r="J40" s="39">
        <v>0</v>
      </c>
    </row>
    <row r="41" spans="1:13" x14ac:dyDescent="0.25">
      <c r="A41" s="91"/>
      <c r="B41" s="94"/>
      <c r="C41" s="97"/>
      <c r="D41" s="80" t="s">
        <v>6</v>
      </c>
      <c r="E41" s="39">
        <f t="shared" si="0"/>
        <v>9068.3695200000002</v>
      </c>
      <c r="F41" s="39">
        <f t="shared" si="10"/>
        <v>9068.3695200000002</v>
      </c>
      <c r="G41" s="39">
        <f t="shared" si="10"/>
        <v>0</v>
      </c>
      <c r="H41" s="39">
        <f t="shared" si="10"/>
        <v>0</v>
      </c>
      <c r="I41" s="39">
        <v>0</v>
      </c>
      <c r="J41" s="39">
        <v>0</v>
      </c>
    </row>
    <row r="42" spans="1:13" ht="30" x14ac:dyDescent="0.25">
      <c r="A42" s="91"/>
      <c r="B42" s="94"/>
      <c r="C42" s="97"/>
      <c r="D42" s="80" t="s">
        <v>45</v>
      </c>
      <c r="E42" s="39">
        <f t="shared" si="0"/>
        <v>0</v>
      </c>
      <c r="F42" s="39">
        <f t="shared" si="10"/>
        <v>0</v>
      </c>
      <c r="G42" s="39">
        <f t="shared" si="10"/>
        <v>0</v>
      </c>
      <c r="H42" s="39">
        <f t="shared" si="10"/>
        <v>0</v>
      </c>
      <c r="I42" s="39">
        <v>0</v>
      </c>
      <c r="J42" s="39">
        <v>0</v>
      </c>
    </row>
    <row r="43" spans="1:13" x14ac:dyDescent="0.25">
      <c r="A43" s="91"/>
      <c r="B43" s="94"/>
      <c r="C43" s="97"/>
      <c r="D43" s="80" t="s">
        <v>44</v>
      </c>
      <c r="E43" s="39">
        <f t="shared" si="0"/>
        <v>0</v>
      </c>
      <c r="F43" s="39">
        <f t="shared" si="10"/>
        <v>0</v>
      </c>
      <c r="G43" s="39">
        <f t="shared" si="10"/>
        <v>0</v>
      </c>
      <c r="H43" s="39">
        <f t="shared" si="10"/>
        <v>0</v>
      </c>
      <c r="I43" s="39">
        <v>0</v>
      </c>
      <c r="J43" s="39">
        <v>0</v>
      </c>
    </row>
    <row r="44" spans="1:13" x14ac:dyDescent="0.25">
      <c r="A44" s="91"/>
      <c r="B44" s="94"/>
      <c r="C44" s="97"/>
      <c r="D44" s="80" t="s">
        <v>7</v>
      </c>
      <c r="E44" s="39">
        <f t="shared" si="0"/>
        <v>16586.738999999998</v>
      </c>
      <c r="F44" s="39">
        <f>F51+F58</f>
        <v>2032.1229999999996</v>
      </c>
      <c r="G44" s="39">
        <f>G51+G58</f>
        <v>14554.615999999998</v>
      </c>
      <c r="H44" s="39">
        <f>H51+H58</f>
        <v>0</v>
      </c>
      <c r="I44" s="39">
        <f t="shared" si="10"/>
        <v>0</v>
      </c>
      <c r="J44" s="39">
        <f>J51+J58</f>
        <v>0</v>
      </c>
    </row>
    <row r="45" spans="1:13" x14ac:dyDescent="0.25">
      <c r="A45" s="91"/>
      <c r="B45" s="94"/>
      <c r="C45" s="98" t="s">
        <v>1</v>
      </c>
      <c r="D45" s="21" t="s">
        <v>3</v>
      </c>
      <c r="E45" s="70">
        <f t="shared" si="0"/>
        <v>32255.108519999998</v>
      </c>
      <c r="F45" s="70">
        <f t="shared" ref="F45:H45" si="11">SUM(F46:F51)</f>
        <v>13800.49252</v>
      </c>
      <c r="G45" s="70">
        <f t="shared" si="11"/>
        <v>18454.615999999998</v>
      </c>
      <c r="H45" s="70">
        <f t="shared" si="11"/>
        <v>0</v>
      </c>
      <c r="I45" s="70">
        <v>0</v>
      </c>
      <c r="J45" s="70">
        <v>0</v>
      </c>
    </row>
    <row r="46" spans="1:13" x14ac:dyDescent="0.25">
      <c r="A46" s="91"/>
      <c r="B46" s="94"/>
      <c r="C46" s="98"/>
      <c r="D46" s="80" t="s">
        <v>4</v>
      </c>
      <c r="E46" s="70">
        <f t="shared" si="0"/>
        <v>0</v>
      </c>
      <c r="F46" s="39">
        <v>0</v>
      </c>
      <c r="G46" s="39">
        <v>0</v>
      </c>
      <c r="H46" s="39">
        <v>0</v>
      </c>
      <c r="I46" s="39">
        <v>0</v>
      </c>
      <c r="J46" s="39">
        <v>0</v>
      </c>
    </row>
    <row r="47" spans="1:13" x14ac:dyDescent="0.25">
      <c r="A47" s="91"/>
      <c r="B47" s="94"/>
      <c r="C47" s="98"/>
      <c r="D47" s="80" t="s">
        <v>5</v>
      </c>
      <c r="E47" s="70">
        <f t="shared" si="0"/>
        <v>6600</v>
      </c>
      <c r="F47" s="39">
        <v>2700</v>
      </c>
      <c r="G47" s="39">
        <v>3900</v>
      </c>
      <c r="H47" s="39">
        <v>0</v>
      </c>
      <c r="I47" s="39">
        <v>0</v>
      </c>
      <c r="J47" s="39">
        <v>0</v>
      </c>
    </row>
    <row r="48" spans="1:13" x14ac:dyDescent="0.25">
      <c r="A48" s="91"/>
      <c r="B48" s="94"/>
      <c r="C48" s="98"/>
      <c r="D48" s="80" t="s">
        <v>6</v>
      </c>
      <c r="E48" s="70">
        <f t="shared" si="0"/>
        <v>9068.3695200000002</v>
      </c>
      <c r="F48" s="39">
        <f>71.997-71.997+392.96011+8678.54-3.13059</f>
        <v>9068.3695200000002</v>
      </c>
      <c r="G48" s="39">
        <f>295-295</f>
        <v>0</v>
      </c>
      <c r="H48" s="39">
        <v>0</v>
      </c>
      <c r="I48" s="39">
        <v>0</v>
      </c>
      <c r="J48" s="39">
        <v>0</v>
      </c>
    </row>
    <row r="49" spans="1:11" ht="30" x14ac:dyDescent="0.25">
      <c r="A49" s="91"/>
      <c r="B49" s="94"/>
      <c r="C49" s="98"/>
      <c r="D49" s="80" t="s">
        <v>45</v>
      </c>
      <c r="E49" s="70">
        <f t="shared" si="0"/>
        <v>0</v>
      </c>
      <c r="F49" s="39">
        <v>0</v>
      </c>
      <c r="G49" s="39">
        <v>0</v>
      </c>
      <c r="H49" s="39">
        <v>0</v>
      </c>
      <c r="I49" s="39">
        <v>0</v>
      </c>
      <c r="J49" s="39">
        <v>0</v>
      </c>
    </row>
    <row r="50" spans="1:11" x14ac:dyDescent="0.25">
      <c r="A50" s="91"/>
      <c r="B50" s="94"/>
      <c r="C50" s="98"/>
      <c r="D50" s="80" t="s">
        <v>44</v>
      </c>
      <c r="E50" s="70">
        <f t="shared" si="0"/>
        <v>0</v>
      </c>
      <c r="F50" s="39"/>
      <c r="G50" s="39">
        <v>0</v>
      </c>
      <c r="H50" s="39">
        <v>0</v>
      </c>
      <c r="I50" s="39">
        <v>0</v>
      </c>
      <c r="J50" s="39">
        <v>0</v>
      </c>
    </row>
    <row r="51" spans="1:11" ht="21" x14ac:dyDescent="0.35">
      <c r="A51" s="91"/>
      <c r="B51" s="94"/>
      <c r="C51" s="98"/>
      <c r="D51" s="80" t="s">
        <v>7</v>
      </c>
      <c r="E51" s="39">
        <f t="shared" si="0"/>
        <v>16586.738999999998</v>
      </c>
      <c r="F51" s="39">
        <f>2090-2090+300+1482.123+550+15000-300-15000</f>
        <v>2032.1229999999996</v>
      </c>
      <c r="G51" s="39">
        <f>15000+919.2849+1150+1277.323+500+472.6+1408.335+12173.681-18346.6079</f>
        <v>14554.615999999998</v>
      </c>
      <c r="H51" s="39">
        <v>0</v>
      </c>
      <c r="I51" s="39">
        <v>0</v>
      </c>
      <c r="J51" s="39">
        <v>0</v>
      </c>
      <c r="K51" s="81"/>
    </row>
    <row r="52" spans="1:11" x14ac:dyDescent="0.25">
      <c r="A52" s="91"/>
      <c r="B52" s="94"/>
      <c r="C52" s="98" t="s">
        <v>117</v>
      </c>
      <c r="D52" s="21" t="s">
        <v>3</v>
      </c>
      <c r="E52" s="70">
        <f t="shared" si="0"/>
        <v>0</v>
      </c>
      <c r="F52" s="70">
        <f t="shared" ref="F52:I52" si="12">SUM(F53:F58)</f>
        <v>0</v>
      </c>
      <c r="G52" s="70">
        <f t="shared" si="12"/>
        <v>0</v>
      </c>
      <c r="H52" s="70">
        <f t="shared" si="12"/>
        <v>0</v>
      </c>
      <c r="I52" s="70">
        <f t="shared" si="12"/>
        <v>0</v>
      </c>
      <c r="J52" s="70">
        <f>SUM(J53:J58)</f>
        <v>0</v>
      </c>
    </row>
    <row r="53" spans="1:11" x14ac:dyDescent="0.25">
      <c r="A53" s="91"/>
      <c r="B53" s="94"/>
      <c r="C53" s="98"/>
      <c r="D53" s="80" t="s">
        <v>4</v>
      </c>
      <c r="E53" s="39">
        <f t="shared" si="0"/>
        <v>0</v>
      </c>
      <c r="F53" s="39">
        <v>0</v>
      </c>
      <c r="G53" s="39">
        <v>0</v>
      </c>
      <c r="H53" s="39">
        <v>0</v>
      </c>
      <c r="I53" s="39">
        <v>0</v>
      </c>
      <c r="J53" s="39">
        <v>0</v>
      </c>
    </row>
    <row r="54" spans="1:11" x14ac:dyDescent="0.25">
      <c r="A54" s="91"/>
      <c r="B54" s="94"/>
      <c r="C54" s="98"/>
      <c r="D54" s="80" t="s">
        <v>5</v>
      </c>
      <c r="E54" s="39">
        <f t="shared" si="0"/>
        <v>0</v>
      </c>
      <c r="F54" s="39">
        <v>0</v>
      </c>
      <c r="G54" s="39">
        <v>0</v>
      </c>
      <c r="H54" s="39">
        <v>0</v>
      </c>
      <c r="I54" s="39">
        <v>0</v>
      </c>
      <c r="J54" s="39">
        <v>0</v>
      </c>
    </row>
    <row r="55" spans="1:11" x14ac:dyDescent="0.25">
      <c r="A55" s="91"/>
      <c r="B55" s="94"/>
      <c r="C55" s="98"/>
      <c r="D55" s="80" t="s">
        <v>6</v>
      </c>
      <c r="E55" s="70">
        <f t="shared" si="0"/>
        <v>0</v>
      </c>
      <c r="F55" s="39">
        <v>0</v>
      </c>
      <c r="G55" s="39">
        <v>0</v>
      </c>
      <c r="H55" s="39">
        <v>0</v>
      </c>
      <c r="I55" s="39">
        <v>0</v>
      </c>
      <c r="J55" s="39">
        <v>0</v>
      </c>
    </row>
    <row r="56" spans="1:11" ht="30" x14ac:dyDescent="0.25">
      <c r="A56" s="91"/>
      <c r="B56" s="94"/>
      <c r="C56" s="98"/>
      <c r="D56" s="80" t="s">
        <v>45</v>
      </c>
      <c r="E56" s="39">
        <f t="shared" si="0"/>
        <v>0</v>
      </c>
      <c r="F56" s="39">
        <v>0</v>
      </c>
      <c r="G56" s="39">
        <v>0</v>
      </c>
      <c r="H56" s="39">
        <v>0</v>
      </c>
      <c r="I56" s="39">
        <v>0</v>
      </c>
      <c r="J56" s="39">
        <v>0</v>
      </c>
    </row>
    <row r="57" spans="1:11" x14ac:dyDescent="0.25">
      <c r="A57" s="91"/>
      <c r="B57" s="94"/>
      <c r="C57" s="98"/>
      <c r="D57" s="80" t="s">
        <v>44</v>
      </c>
      <c r="E57" s="39">
        <f t="shared" si="0"/>
        <v>0</v>
      </c>
      <c r="F57" s="39">
        <v>0</v>
      </c>
      <c r="G57" s="39">
        <v>0</v>
      </c>
      <c r="H57" s="39">
        <v>0</v>
      </c>
      <c r="I57" s="39">
        <v>0</v>
      </c>
      <c r="J57" s="39">
        <v>0</v>
      </c>
    </row>
    <row r="58" spans="1:11" ht="21" x14ac:dyDescent="0.35">
      <c r="A58" s="91"/>
      <c r="B58" s="94"/>
      <c r="C58" s="98"/>
      <c r="D58" s="80" t="s">
        <v>7</v>
      </c>
      <c r="E58" s="70">
        <f t="shared" si="0"/>
        <v>0</v>
      </c>
      <c r="F58" s="39">
        <f>120000+6500-6500-120000</f>
        <v>0</v>
      </c>
      <c r="G58" s="39">
        <f>12500+255000-250000-5000-12500</f>
        <v>0</v>
      </c>
      <c r="H58" s="39">
        <f>100000-100000</f>
        <v>0</v>
      </c>
      <c r="I58" s="39">
        <f>80000-80000</f>
        <v>0</v>
      </c>
      <c r="J58" s="39">
        <f>340000+540000+200000-340000-540000-200000</f>
        <v>0</v>
      </c>
      <c r="K58" s="81"/>
    </row>
    <row r="59" spans="1:11" ht="15" customHeight="1" x14ac:dyDescent="0.25">
      <c r="A59" s="96" t="s">
        <v>77</v>
      </c>
      <c r="B59" s="94" t="s">
        <v>139</v>
      </c>
      <c r="C59" s="94" t="s">
        <v>1</v>
      </c>
      <c r="D59" s="21" t="s">
        <v>3</v>
      </c>
      <c r="E59" s="70">
        <f t="shared" ref="E59:E85" si="13">SUM(F59:J59)</f>
        <v>1114784.76498</v>
      </c>
      <c r="F59" s="70">
        <f t="shared" ref="F59:G59" si="14">SUM(F60:F65)</f>
        <v>153195.29243999999</v>
      </c>
      <c r="G59" s="70">
        <f t="shared" si="14"/>
        <v>197539.74800000002</v>
      </c>
      <c r="H59" s="70">
        <f>SUM(H60:H65)</f>
        <v>127059.67909000001</v>
      </c>
      <c r="I59" s="70">
        <f>SUM(I60:I65)</f>
        <v>127398.00909000001</v>
      </c>
      <c r="J59" s="70">
        <f>SUM(J60:J65)</f>
        <v>509592.03636000003</v>
      </c>
    </row>
    <row r="60" spans="1:11" x14ac:dyDescent="0.25">
      <c r="A60" s="96"/>
      <c r="B60" s="94"/>
      <c r="C60" s="94"/>
      <c r="D60" s="80" t="s">
        <v>4</v>
      </c>
      <c r="E60" s="39">
        <f t="shared" si="13"/>
        <v>0</v>
      </c>
      <c r="F60" s="39"/>
      <c r="G60" s="39"/>
      <c r="H60" s="39"/>
      <c r="I60" s="39"/>
      <c r="J60" s="39"/>
    </row>
    <row r="61" spans="1:11" x14ac:dyDescent="0.25">
      <c r="A61" s="96"/>
      <c r="B61" s="94"/>
      <c r="C61" s="94"/>
      <c r="D61" s="80" t="s">
        <v>5</v>
      </c>
      <c r="E61" s="39">
        <f t="shared" si="13"/>
        <v>0</v>
      </c>
      <c r="F61" s="39"/>
      <c r="G61" s="39"/>
      <c r="H61" s="39"/>
      <c r="I61" s="39"/>
      <c r="J61" s="39"/>
    </row>
    <row r="62" spans="1:11" ht="19.5" customHeight="1" x14ac:dyDescent="0.4">
      <c r="A62" s="96"/>
      <c r="B62" s="94"/>
      <c r="C62" s="94"/>
      <c r="D62" s="80" t="s">
        <v>6</v>
      </c>
      <c r="E62" s="39">
        <f t="shared" si="13"/>
        <v>1113784.76498</v>
      </c>
      <c r="F62" s="39">
        <f>140685.96302+12209.32942</f>
        <v>152895.29243999999</v>
      </c>
      <c r="G62" s="39">
        <f>165083.95944-20001.833-293+22670.4+2111.514-800-325+26043.96129-4529.97644+118+6761.72271</f>
        <v>196839.74800000002</v>
      </c>
      <c r="H62" s="39">
        <f>52.7+112546.12909+14460.85</f>
        <v>127059.67909000001</v>
      </c>
      <c r="I62" s="39">
        <f>52.7+112884.45909+14460.85</f>
        <v>127398.00909000001</v>
      </c>
      <c r="J62" s="39">
        <f>I62*4</f>
        <v>509592.03636000003</v>
      </c>
      <c r="K62" s="82"/>
    </row>
    <row r="63" spans="1:11" ht="30" x14ac:dyDescent="0.25">
      <c r="A63" s="96"/>
      <c r="B63" s="94"/>
      <c r="C63" s="94"/>
      <c r="D63" s="80" t="s">
        <v>45</v>
      </c>
      <c r="E63" s="39">
        <f t="shared" si="13"/>
        <v>0</v>
      </c>
      <c r="F63" s="39"/>
      <c r="G63" s="39"/>
      <c r="H63" s="39"/>
      <c r="I63" s="39"/>
      <c r="J63" s="39"/>
    </row>
    <row r="64" spans="1:11" x14ac:dyDescent="0.25">
      <c r="A64" s="96"/>
      <c r="B64" s="94"/>
      <c r="C64" s="94"/>
      <c r="D64" s="80" t="s">
        <v>44</v>
      </c>
      <c r="E64" s="39">
        <f t="shared" si="13"/>
        <v>0</v>
      </c>
      <c r="F64" s="39"/>
      <c r="G64" s="39"/>
      <c r="H64" s="39"/>
      <c r="I64" s="39"/>
      <c r="J64" s="39"/>
    </row>
    <row r="65" spans="1:11" ht="23.25" x14ac:dyDescent="0.35">
      <c r="A65" s="96"/>
      <c r="B65" s="94"/>
      <c r="C65" s="94"/>
      <c r="D65" s="80" t="s">
        <v>7</v>
      </c>
      <c r="E65" s="39">
        <f t="shared" si="13"/>
        <v>1000</v>
      </c>
      <c r="F65" s="39">
        <f>68858.2178+300-68858.2178</f>
        <v>300</v>
      </c>
      <c r="G65" s="39">
        <f>19888+40298.15344+62847.77466+300-123033.9281-300+300+400</f>
        <v>700</v>
      </c>
      <c r="H65" s="83">
        <f>15888+62661.42844+82508.78001-161058.20845</f>
        <v>0</v>
      </c>
      <c r="I65" s="83">
        <f>15888+62661.42844+82170.45001-160719.87845</f>
        <v>0</v>
      </c>
      <c r="J65" s="83">
        <f>I65*4</f>
        <v>0</v>
      </c>
      <c r="K65" s="84"/>
    </row>
    <row r="66" spans="1:11" ht="15" customHeight="1" x14ac:dyDescent="0.25">
      <c r="A66" s="96" t="s">
        <v>91</v>
      </c>
      <c r="B66" s="94" t="s">
        <v>140</v>
      </c>
      <c r="C66" s="94" t="s">
        <v>1</v>
      </c>
      <c r="D66" s="21" t="s">
        <v>3</v>
      </c>
      <c r="E66" s="70">
        <f t="shared" si="13"/>
        <v>8789.5</v>
      </c>
      <c r="F66" s="70">
        <f t="shared" ref="F66:I66" si="15">SUM(F67:F72)</f>
        <v>1210.125</v>
      </c>
      <c r="G66" s="70">
        <f t="shared" si="15"/>
        <v>1515.875</v>
      </c>
      <c r="H66" s="70">
        <f t="shared" si="15"/>
        <v>3031.75</v>
      </c>
      <c r="I66" s="70">
        <f t="shared" si="15"/>
        <v>3031.75</v>
      </c>
      <c r="J66" s="70">
        <v>0</v>
      </c>
    </row>
    <row r="67" spans="1:11" x14ac:dyDescent="0.25">
      <c r="A67" s="96"/>
      <c r="B67" s="94"/>
      <c r="C67" s="94"/>
      <c r="D67" s="80" t="s">
        <v>4</v>
      </c>
      <c r="E67" s="39">
        <f t="shared" si="13"/>
        <v>0</v>
      </c>
      <c r="F67" s="39">
        <v>0</v>
      </c>
      <c r="G67" s="39">
        <v>0</v>
      </c>
      <c r="H67" s="39">
        <v>0</v>
      </c>
      <c r="I67" s="39">
        <v>0</v>
      </c>
      <c r="J67" s="39">
        <v>0</v>
      </c>
    </row>
    <row r="68" spans="1:11" x14ac:dyDescent="0.25">
      <c r="A68" s="96"/>
      <c r="B68" s="94"/>
      <c r="C68" s="94"/>
      <c r="D68" s="80" t="s">
        <v>5</v>
      </c>
      <c r="E68" s="70">
        <f>SUM(F68:J68)</f>
        <v>7031.6</v>
      </c>
      <c r="F68" s="39">
        <v>968.1</v>
      </c>
      <c r="G68" s="39">
        <v>1212.7</v>
      </c>
      <c r="H68" s="39">
        <v>2425.4</v>
      </c>
      <c r="I68" s="39">
        <v>2425.4</v>
      </c>
      <c r="J68" s="39">
        <v>0</v>
      </c>
    </row>
    <row r="69" spans="1:11" x14ac:dyDescent="0.25">
      <c r="A69" s="96"/>
      <c r="B69" s="94"/>
      <c r="C69" s="94"/>
      <c r="D69" s="80" t="s">
        <v>6</v>
      </c>
      <c r="E69" s="70">
        <f t="shared" si="13"/>
        <v>1757.9</v>
      </c>
      <c r="F69" s="39">
        <v>242.02500000000001</v>
      </c>
      <c r="G69" s="39">
        <f>303.175</f>
        <v>303.17500000000001</v>
      </c>
      <c r="H69" s="39">
        <v>606.35</v>
      </c>
      <c r="I69" s="39">
        <v>606.35</v>
      </c>
      <c r="J69" s="39">
        <v>0</v>
      </c>
    </row>
    <row r="70" spans="1:11" ht="30" x14ac:dyDescent="0.25">
      <c r="A70" s="96"/>
      <c r="B70" s="94"/>
      <c r="C70" s="94"/>
      <c r="D70" s="80" t="s">
        <v>45</v>
      </c>
      <c r="E70" s="39">
        <f t="shared" si="13"/>
        <v>0</v>
      </c>
      <c r="F70" s="39">
        <v>0</v>
      </c>
      <c r="G70" s="39">
        <v>0</v>
      </c>
      <c r="H70" s="39">
        <v>0</v>
      </c>
      <c r="I70" s="39">
        <v>0</v>
      </c>
      <c r="J70" s="39">
        <v>0</v>
      </c>
    </row>
    <row r="71" spans="1:11" x14ac:dyDescent="0.25">
      <c r="A71" s="96"/>
      <c r="B71" s="94"/>
      <c r="C71" s="94"/>
      <c r="D71" s="80" t="s">
        <v>44</v>
      </c>
      <c r="E71" s="39">
        <f t="shared" si="13"/>
        <v>0</v>
      </c>
      <c r="F71" s="39">
        <v>0</v>
      </c>
      <c r="G71" s="39">
        <v>0</v>
      </c>
      <c r="H71" s="39">
        <v>0</v>
      </c>
      <c r="I71" s="39">
        <v>0</v>
      </c>
      <c r="J71" s="39">
        <v>0</v>
      </c>
    </row>
    <row r="72" spans="1:11" x14ac:dyDescent="0.25">
      <c r="A72" s="96"/>
      <c r="B72" s="94"/>
      <c r="C72" s="94"/>
      <c r="D72" s="80" t="s">
        <v>7</v>
      </c>
      <c r="E72" s="39">
        <f t="shared" si="13"/>
        <v>0</v>
      </c>
      <c r="F72" s="39">
        <v>0</v>
      </c>
      <c r="G72" s="39">
        <v>0</v>
      </c>
      <c r="H72" s="39">
        <v>0</v>
      </c>
      <c r="I72" s="39">
        <v>0</v>
      </c>
      <c r="J72" s="39">
        <v>0</v>
      </c>
    </row>
    <row r="73" spans="1:11" x14ac:dyDescent="0.25">
      <c r="A73" s="96" t="s">
        <v>125</v>
      </c>
      <c r="B73" s="94" t="s">
        <v>121</v>
      </c>
      <c r="C73" s="93" t="s">
        <v>1</v>
      </c>
      <c r="D73" s="80" t="s">
        <v>3</v>
      </c>
      <c r="E73" s="70">
        <f t="shared" si="13"/>
        <v>0</v>
      </c>
      <c r="F73" s="39">
        <f>SUM(F74:F79)</f>
        <v>0</v>
      </c>
      <c r="G73" s="39">
        <f t="shared" ref="G73:H73" si="16">SUM(G74:G79)</f>
        <v>0</v>
      </c>
      <c r="H73" s="39">
        <f t="shared" si="16"/>
        <v>0</v>
      </c>
      <c r="I73" s="39">
        <v>0</v>
      </c>
      <c r="J73" s="39">
        <v>0</v>
      </c>
    </row>
    <row r="74" spans="1:11" x14ac:dyDescent="0.25">
      <c r="A74" s="96"/>
      <c r="B74" s="94"/>
      <c r="C74" s="93"/>
      <c r="D74" s="80" t="s">
        <v>4</v>
      </c>
      <c r="E74" s="39">
        <f t="shared" si="13"/>
        <v>0</v>
      </c>
      <c r="F74" s="39"/>
      <c r="G74" s="39"/>
      <c r="H74" s="39"/>
      <c r="I74" s="39"/>
      <c r="J74" s="39"/>
    </row>
    <row r="75" spans="1:11" x14ac:dyDescent="0.25">
      <c r="A75" s="96"/>
      <c r="B75" s="94"/>
      <c r="C75" s="93"/>
      <c r="D75" s="80" t="s">
        <v>5</v>
      </c>
      <c r="E75" s="70">
        <f t="shared" si="13"/>
        <v>0</v>
      </c>
      <c r="F75" s="39"/>
      <c r="G75" s="39"/>
      <c r="H75" s="39"/>
      <c r="I75" s="39"/>
      <c r="J75" s="39"/>
    </row>
    <row r="76" spans="1:11" x14ac:dyDescent="0.25">
      <c r="A76" s="96"/>
      <c r="B76" s="94"/>
      <c r="C76" s="93"/>
      <c r="D76" s="80" t="s">
        <v>6</v>
      </c>
      <c r="E76" s="70">
        <f t="shared" si="13"/>
        <v>0</v>
      </c>
      <c r="F76" s="39"/>
      <c r="G76" s="39"/>
      <c r="H76" s="39"/>
      <c r="I76" s="39"/>
      <c r="J76" s="39"/>
    </row>
    <row r="77" spans="1:11" ht="30" x14ac:dyDescent="0.25">
      <c r="A77" s="96"/>
      <c r="B77" s="94"/>
      <c r="C77" s="93"/>
      <c r="D77" s="80" t="s">
        <v>45</v>
      </c>
      <c r="E77" s="39">
        <f t="shared" si="13"/>
        <v>0</v>
      </c>
      <c r="F77" s="39"/>
      <c r="G77" s="39"/>
      <c r="H77" s="39"/>
      <c r="I77" s="39"/>
      <c r="J77" s="39"/>
    </row>
    <row r="78" spans="1:11" x14ac:dyDescent="0.25">
      <c r="A78" s="96"/>
      <c r="B78" s="94"/>
      <c r="C78" s="93"/>
      <c r="D78" s="80" t="s">
        <v>44</v>
      </c>
      <c r="E78" s="39">
        <f t="shared" si="13"/>
        <v>0</v>
      </c>
      <c r="F78" s="39"/>
      <c r="G78" s="39"/>
      <c r="H78" s="39"/>
      <c r="I78" s="39"/>
      <c r="J78" s="39"/>
    </row>
    <row r="79" spans="1:11" x14ac:dyDescent="0.25">
      <c r="A79" s="96"/>
      <c r="B79" s="94"/>
      <c r="C79" s="93"/>
      <c r="D79" s="80" t="s">
        <v>7</v>
      </c>
      <c r="E79" s="39">
        <f t="shared" si="13"/>
        <v>0</v>
      </c>
      <c r="F79" s="39"/>
      <c r="G79" s="39"/>
      <c r="H79" s="39"/>
      <c r="I79" s="39"/>
      <c r="J79" s="39"/>
    </row>
    <row r="80" spans="1:11" x14ac:dyDescent="0.25">
      <c r="A80" s="94" t="s">
        <v>68</v>
      </c>
      <c r="B80" s="94"/>
      <c r="C80" s="94"/>
      <c r="D80" s="21" t="s">
        <v>3</v>
      </c>
      <c r="E80" s="70">
        <f>SUM(F80:J80)</f>
        <v>1157103.7735000001</v>
      </c>
      <c r="F80" s="70">
        <f>SUM(F81:F86)</f>
        <v>168768.70995999998</v>
      </c>
      <c r="G80" s="70">
        <f>SUM(G81:G86)</f>
        <v>218221.83900000004</v>
      </c>
      <c r="H80" s="70">
        <f>SUM(H81:H86)</f>
        <v>130091.42909000001</v>
      </c>
      <c r="I80" s="70">
        <f>SUM(I81:I86)</f>
        <v>130429.75909000001</v>
      </c>
      <c r="J80" s="70">
        <f>SUM(J81:J86)</f>
        <v>509592.03636000003</v>
      </c>
    </row>
    <row r="81" spans="1:12" x14ac:dyDescent="0.25">
      <c r="A81" s="94"/>
      <c r="B81" s="94"/>
      <c r="C81" s="94"/>
      <c r="D81" s="21" t="s">
        <v>4</v>
      </c>
      <c r="E81" s="39">
        <f t="shared" si="13"/>
        <v>0</v>
      </c>
      <c r="F81" s="39">
        <f t="shared" ref="F81:H82" si="17">F74+F67+F32+F60+F39+F18+F11</f>
        <v>0</v>
      </c>
      <c r="G81" s="39">
        <f t="shared" si="17"/>
        <v>0</v>
      </c>
      <c r="H81" s="39">
        <f t="shared" si="17"/>
        <v>0</v>
      </c>
      <c r="I81" s="39">
        <v>0</v>
      </c>
      <c r="J81" s="39">
        <v>0</v>
      </c>
    </row>
    <row r="82" spans="1:12" ht="23.25" x14ac:dyDescent="0.35">
      <c r="A82" s="94"/>
      <c r="B82" s="94"/>
      <c r="C82" s="94"/>
      <c r="D82" s="21" t="s">
        <v>5</v>
      </c>
      <c r="E82" s="39">
        <f>SUM(F82:J82)</f>
        <v>13631.599999999999</v>
      </c>
      <c r="F82" s="39">
        <f t="shared" si="17"/>
        <v>3668.1</v>
      </c>
      <c r="G82" s="39">
        <f t="shared" si="17"/>
        <v>5112.7</v>
      </c>
      <c r="H82" s="39">
        <f t="shared" si="17"/>
        <v>2425.4</v>
      </c>
      <c r="I82" s="39">
        <f>I75+I68+I33+I61+I40+I19+I12</f>
        <v>2425.4</v>
      </c>
      <c r="J82" s="39">
        <v>0</v>
      </c>
      <c r="L82" s="85"/>
    </row>
    <row r="83" spans="1:12" x14ac:dyDescent="0.25">
      <c r="A83" s="94"/>
      <c r="B83" s="94"/>
      <c r="C83" s="94"/>
      <c r="D83" s="21" t="s">
        <v>6</v>
      </c>
      <c r="E83" s="83">
        <f>SUM(F83:J83)</f>
        <v>1125885.4345</v>
      </c>
      <c r="F83" s="39">
        <f>F76+F69+F34+F62+F41+F20+F13</f>
        <v>162768.48695999998</v>
      </c>
      <c r="G83" s="39">
        <f>G13+G20+G27+G34+G62+G69+G76</f>
        <v>197854.52300000002</v>
      </c>
      <c r="H83" s="39">
        <f>H76+H69+H34+H62+H41+H20+H13</f>
        <v>127666.02909000001</v>
      </c>
      <c r="I83" s="39">
        <f>I76+I69+I34+I62+I41+I20+I13</f>
        <v>128004.35909000001</v>
      </c>
      <c r="J83" s="39">
        <f>J76+J69+J34+J62+J41+J20+J13</f>
        <v>509592.03636000003</v>
      </c>
    </row>
    <row r="84" spans="1:12" ht="28.5" x14ac:dyDescent="0.25">
      <c r="A84" s="94"/>
      <c r="B84" s="94"/>
      <c r="C84" s="94"/>
      <c r="D84" s="21" t="s">
        <v>45</v>
      </c>
      <c r="E84" s="39">
        <f t="shared" si="13"/>
        <v>0</v>
      </c>
      <c r="F84" s="39">
        <f>F77+F70+F35+F63+F42+F21+F14</f>
        <v>0</v>
      </c>
      <c r="G84" s="39">
        <f>G77+G70+G35+G63+G42+G21+G14</f>
        <v>0</v>
      </c>
      <c r="H84" s="39">
        <f>H77+H70+H35+H63+H42+H21+H14</f>
        <v>0</v>
      </c>
      <c r="I84" s="39">
        <v>0</v>
      </c>
      <c r="J84" s="39">
        <v>0</v>
      </c>
    </row>
    <row r="85" spans="1:12" x14ac:dyDescent="0.25">
      <c r="A85" s="94"/>
      <c r="B85" s="94"/>
      <c r="C85" s="94"/>
      <c r="D85" s="21" t="s">
        <v>44</v>
      </c>
      <c r="E85" s="39">
        <f t="shared" si="13"/>
        <v>0</v>
      </c>
      <c r="F85" s="39">
        <f>F78+F71+F36+F64+F43+F22+F15</f>
        <v>0</v>
      </c>
      <c r="G85" s="39">
        <f>G78+G71+G36+G64+G43+G22+G15</f>
        <v>0</v>
      </c>
      <c r="H85" s="39">
        <f>H78+H71+H36+H64+H43+H22+H15</f>
        <v>0</v>
      </c>
      <c r="I85" s="39">
        <v>0</v>
      </c>
      <c r="J85" s="39">
        <v>0</v>
      </c>
    </row>
    <row r="86" spans="1:12" x14ac:dyDescent="0.25">
      <c r="A86" s="94"/>
      <c r="B86" s="94"/>
      <c r="C86" s="94"/>
      <c r="D86" s="21" t="s">
        <v>7</v>
      </c>
      <c r="E86" s="83">
        <f>SUM(F86:J86)</f>
        <v>17586.738999999998</v>
      </c>
      <c r="F86" s="39">
        <f>F79+F72+F37+F65+F44+F23+F16</f>
        <v>2332.1229999999996</v>
      </c>
      <c r="G86" s="39">
        <f>G79+G72+G37+G65+G44+G23+G16</f>
        <v>15254.615999999998</v>
      </c>
      <c r="H86" s="39">
        <f>H79+J84+H72+H37+H65+H44+H23+H16</f>
        <v>0</v>
      </c>
      <c r="I86" s="39">
        <f>I79+K84+I72+I37+I65+I44+I23+I16</f>
        <v>0</v>
      </c>
      <c r="J86" s="39">
        <f>J79+L84+J72+J37+J65+J44+J23+J16</f>
        <v>0</v>
      </c>
    </row>
    <row r="87" spans="1:12" ht="24" customHeight="1" x14ac:dyDescent="0.25">
      <c r="A87" s="91" t="s">
        <v>114</v>
      </c>
      <c r="B87" s="91"/>
      <c r="C87" s="91"/>
      <c r="D87" s="91"/>
      <c r="E87" s="91"/>
      <c r="F87" s="91"/>
      <c r="G87" s="91"/>
      <c r="H87" s="91"/>
      <c r="I87" s="91"/>
      <c r="J87" s="91"/>
    </row>
    <row r="88" spans="1:12" ht="15" customHeight="1" x14ac:dyDescent="0.25">
      <c r="A88" s="102" t="s">
        <v>78</v>
      </c>
      <c r="B88" s="167" t="s">
        <v>183</v>
      </c>
      <c r="C88" s="100" t="s">
        <v>128</v>
      </c>
      <c r="D88" s="80" t="s">
        <v>3</v>
      </c>
      <c r="E88" s="86">
        <v>0</v>
      </c>
      <c r="F88" s="86">
        <v>0</v>
      </c>
      <c r="G88" s="86">
        <v>0</v>
      </c>
      <c r="H88" s="86">
        <v>0</v>
      </c>
      <c r="I88" s="86">
        <v>0</v>
      </c>
      <c r="J88" s="86">
        <v>0</v>
      </c>
    </row>
    <row r="89" spans="1:12" ht="15" customHeight="1" x14ac:dyDescent="0.25">
      <c r="A89" s="103"/>
      <c r="B89" s="168"/>
      <c r="C89" s="100"/>
      <c r="D89" s="80" t="s">
        <v>4</v>
      </c>
      <c r="E89" s="86">
        <v>0</v>
      </c>
      <c r="F89" s="86">
        <v>0</v>
      </c>
      <c r="G89" s="86">
        <v>0</v>
      </c>
      <c r="H89" s="86">
        <v>0</v>
      </c>
      <c r="I89" s="86">
        <v>0</v>
      </c>
      <c r="J89" s="86">
        <v>0</v>
      </c>
    </row>
    <row r="90" spans="1:12" ht="15" customHeight="1" x14ac:dyDescent="0.25">
      <c r="A90" s="103"/>
      <c r="B90" s="168"/>
      <c r="C90" s="100"/>
      <c r="D90" s="80" t="s">
        <v>5</v>
      </c>
      <c r="E90" s="86">
        <v>0</v>
      </c>
      <c r="F90" s="86">
        <v>0</v>
      </c>
      <c r="G90" s="86">
        <v>0</v>
      </c>
      <c r="H90" s="86">
        <v>0</v>
      </c>
      <c r="I90" s="86">
        <v>0</v>
      </c>
      <c r="J90" s="86">
        <v>0</v>
      </c>
    </row>
    <row r="91" spans="1:12" ht="15" customHeight="1" x14ac:dyDescent="0.25">
      <c r="A91" s="103"/>
      <c r="B91" s="168"/>
      <c r="C91" s="100"/>
      <c r="D91" s="80" t="s">
        <v>6</v>
      </c>
      <c r="E91" s="86">
        <v>0</v>
      </c>
      <c r="F91" s="86">
        <v>0</v>
      </c>
      <c r="G91" s="86">
        <v>0</v>
      </c>
      <c r="H91" s="86">
        <v>0</v>
      </c>
      <c r="I91" s="86">
        <v>0</v>
      </c>
      <c r="J91" s="86">
        <v>0</v>
      </c>
    </row>
    <row r="92" spans="1:12" ht="15" customHeight="1" x14ac:dyDescent="0.25">
      <c r="A92" s="103"/>
      <c r="B92" s="168"/>
      <c r="C92" s="100"/>
      <c r="D92" s="80" t="s">
        <v>45</v>
      </c>
      <c r="E92" s="86">
        <v>0</v>
      </c>
      <c r="F92" s="86">
        <v>0</v>
      </c>
      <c r="G92" s="86">
        <v>0</v>
      </c>
      <c r="H92" s="86">
        <v>0</v>
      </c>
      <c r="I92" s="86">
        <v>0</v>
      </c>
      <c r="J92" s="86">
        <v>0</v>
      </c>
    </row>
    <row r="93" spans="1:12" ht="15" customHeight="1" x14ac:dyDescent="0.25">
      <c r="A93" s="103"/>
      <c r="B93" s="168"/>
      <c r="C93" s="100"/>
      <c r="D93" s="80" t="s">
        <v>44</v>
      </c>
      <c r="E93" s="86">
        <v>0</v>
      </c>
      <c r="F93" s="86">
        <v>0</v>
      </c>
      <c r="G93" s="86">
        <v>0</v>
      </c>
      <c r="H93" s="86">
        <v>0</v>
      </c>
      <c r="I93" s="86">
        <v>0</v>
      </c>
      <c r="J93" s="86">
        <v>0</v>
      </c>
    </row>
    <row r="94" spans="1:12" ht="15" customHeight="1" x14ac:dyDescent="0.25">
      <c r="A94" s="104"/>
      <c r="B94" s="169"/>
      <c r="C94" s="100"/>
      <c r="D94" s="80" t="s">
        <v>7</v>
      </c>
      <c r="E94" s="86">
        <v>0</v>
      </c>
      <c r="F94" s="86">
        <v>0</v>
      </c>
      <c r="G94" s="86">
        <v>0</v>
      </c>
      <c r="H94" s="86">
        <v>0</v>
      </c>
      <c r="I94" s="86">
        <v>0</v>
      </c>
      <c r="J94" s="86">
        <v>0</v>
      </c>
    </row>
    <row r="95" spans="1:12" ht="15" customHeight="1" x14ac:dyDescent="0.25">
      <c r="A95" s="91" t="s">
        <v>79</v>
      </c>
      <c r="B95" s="94" t="s">
        <v>141</v>
      </c>
      <c r="C95" s="100" t="s">
        <v>1</v>
      </c>
      <c r="D95" s="21" t="s">
        <v>3</v>
      </c>
      <c r="E95" s="70">
        <f t="shared" ref="E95:E101" si="18">SUM(F95:J95)</f>
        <v>418918.64471000002</v>
      </c>
      <c r="F95" s="70">
        <f>SUM(F96:F101)</f>
        <v>60189.591240000002</v>
      </c>
      <c r="G95" s="70">
        <f>SUM(G96:G101)</f>
        <v>74724.203470000008</v>
      </c>
      <c r="H95" s="70">
        <f>SUM(H96:H101)</f>
        <v>47233.1</v>
      </c>
      <c r="I95" s="70">
        <f t="shared" ref="I95:J95" si="19">SUM(I96:I101)</f>
        <v>47354.35</v>
      </c>
      <c r="J95" s="70">
        <f t="shared" si="19"/>
        <v>189417.4</v>
      </c>
    </row>
    <row r="96" spans="1:12" x14ac:dyDescent="0.25">
      <c r="A96" s="91"/>
      <c r="B96" s="94"/>
      <c r="C96" s="100"/>
      <c r="D96" s="80" t="s">
        <v>4</v>
      </c>
      <c r="E96" s="39">
        <f t="shared" si="18"/>
        <v>0</v>
      </c>
      <c r="F96" s="39">
        <v>0</v>
      </c>
      <c r="G96" s="39">
        <v>0</v>
      </c>
      <c r="H96" s="39">
        <v>0</v>
      </c>
      <c r="I96" s="39">
        <v>0</v>
      </c>
      <c r="J96" s="39">
        <v>0</v>
      </c>
    </row>
    <row r="97" spans="1:11" x14ac:dyDescent="0.25">
      <c r="A97" s="91"/>
      <c r="B97" s="94"/>
      <c r="C97" s="100"/>
      <c r="D97" s="80" t="s">
        <v>5</v>
      </c>
      <c r="E97" s="39">
        <f t="shared" si="18"/>
        <v>0</v>
      </c>
      <c r="F97" s="39">
        <v>0</v>
      </c>
      <c r="G97" s="39">
        <v>0</v>
      </c>
      <c r="H97" s="39">
        <v>0</v>
      </c>
      <c r="I97" s="39">
        <v>0</v>
      </c>
      <c r="J97" s="39">
        <v>0</v>
      </c>
    </row>
    <row r="98" spans="1:11" x14ac:dyDescent="0.25">
      <c r="A98" s="91"/>
      <c r="B98" s="94"/>
      <c r="C98" s="100"/>
      <c r="D98" s="80" t="s">
        <v>6</v>
      </c>
      <c r="E98" s="39">
        <f t="shared" si="18"/>
        <v>418918.64471000002</v>
      </c>
      <c r="F98" s="39">
        <f>59370.38764+647.76+171.4436</f>
        <v>60189.591240000002</v>
      </c>
      <c r="G98" s="39">
        <f>5603.55+55532.6-3906+5272+14086.55347-3210+1345.5</f>
        <v>74724.203470000008</v>
      </c>
      <c r="H98" s="39">
        <f>5222+42011.1</f>
        <v>47233.1</v>
      </c>
      <c r="I98" s="39">
        <f>5343.25+42011.1</f>
        <v>47354.35</v>
      </c>
      <c r="J98" s="39">
        <f>I98*4</f>
        <v>189417.4</v>
      </c>
    </row>
    <row r="99" spans="1:11" ht="30" x14ac:dyDescent="0.25">
      <c r="A99" s="91"/>
      <c r="B99" s="94"/>
      <c r="C99" s="100"/>
      <c r="D99" s="80" t="s">
        <v>45</v>
      </c>
      <c r="E99" s="39">
        <f t="shared" si="18"/>
        <v>0</v>
      </c>
      <c r="F99" s="39">
        <v>0</v>
      </c>
      <c r="G99" s="39">
        <v>0</v>
      </c>
      <c r="H99" s="39">
        <v>0</v>
      </c>
      <c r="I99" s="39">
        <v>0</v>
      </c>
      <c r="J99" s="39">
        <v>0</v>
      </c>
    </row>
    <row r="100" spans="1:11" x14ac:dyDescent="0.25">
      <c r="A100" s="91"/>
      <c r="B100" s="94"/>
      <c r="C100" s="100"/>
      <c r="D100" s="80" t="s">
        <v>44</v>
      </c>
      <c r="E100" s="39">
        <f t="shared" si="18"/>
        <v>0</v>
      </c>
      <c r="F100" s="39">
        <v>0</v>
      </c>
      <c r="G100" s="39">
        <v>0</v>
      </c>
      <c r="H100" s="39">
        <v>0</v>
      </c>
      <c r="I100" s="39">
        <v>0</v>
      </c>
      <c r="J100" s="39">
        <v>0</v>
      </c>
    </row>
    <row r="101" spans="1:11" x14ac:dyDescent="0.25">
      <c r="A101" s="91"/>
      <c r="B101" s="94"/>
      <c r="C101" s="100"/>
      <c r="D101" s="80" t="s">
        <v>7</v>
      </c>
      <c r="E101" s="39">
        <f t="shared" si="18"/>
        <v>0</v>
      </c>
      <c r="F101" s="39">
        <f>21029.36608-21029.36608</f>
        <v>0</v>
      </c>
      <c r="G101" s="39">
        <f>13564.2+4762-18326.2</f>
        <v>0</v>
      </c>
      <c r="H101" s="39">
        <f>31847.7-31847.7</f>
        <v>0</v>
      </c>
      <c r="I101" s="39">
        <f>31847.7-31847.7</f>
        <v>0</v>
      </c>
      <c r="J101" s="39">
        <f>127390.8-127390.8</f>
        <v>0</v>
      </c>
      <c r="K101" s="48"/>
    </row>
    <row r="102" spans="1:11" ht="15" customHeight="1" x14ac:dyDescent="0.25">
      <c r="A102" s="91" t="s">
        <v>179</v>
      </c>
      <c r="B102" s="94" t="s">
        <v>142</v>
      </c>
      <c r="C102" s="100" t="s">
        <v>120</v>
      </c>
      <c r="D102" s="21" t="s">
        <v>3</v>
      </c>
      <c r="E102" s="70">
        <f t="shared" ref="E102:E108" si="20">SUM(F102:J102)</f>
        <v>34917.125</v>
      </c>
      <c r="F102" s="70">
        <f t="shared" ref="F102:J102" si="21">SUM(F103:F108)</f>
        <v>5264</v>
      </c>
      <c r="G102" s="70">
        <f t="shared" si="21"/>
        <v>9249.875</v>
      </c>
      <c r="H102" s="70">
        <f t="shared" si="21"/>
        <v>10201.625</v>
      </c>
      <c r="I102" s="70">
        <f t="shared" si="21"/>
        <v>10201.625</v>
      </c>
      <c r="J102" s="70">
        <f t="shared" si="21"/>
        <v>0</v>
      </c>
    </row>
    <row r="103" spans="1:11" x14ac:dyDescent="0.25">
      <c r="A103" s="91"/>
      <c r="B103" s="94"/>
      <c r="C103" s="100"/>
      <c r="D103" s="80" t="s">
        <v>4</v>
      </c>
      <c r="E103" s="39">
        <f t="shared" si="20"/>
        <v>0</v>
      </c>
      <c r="F103" s="39">
        <f>F110+F117</f>
        <v>0</v>
      </c>
      <c r="G103" s="39">
        <f t="shared" ref="G103:H103" si="22">G110+G117</f>
        <v>0</v>
      </c>
      <c r="H103" s="39">
        <f t="shared" si="22"/>
        <v>0</v>
      </c>
      <c r="I103" s="39">
        <v>0</v>
      </c>
      <c r="J103" s="39">
        <v>0</v>
      </c>
    </row>
    <row r="104" spans="1:11" x14ac:dyDescent="0.25">
      <c r="A104" s="91"/>
      <c r="B104" s="94"/>
      <c r="C104" s="100"/>
      <c r="D104" s="80" t="s">
        <v>5</v>
      </c>
      <c r="E104" s="39">
        <f t="shared" si="20"/>
        <v>26174.5</v>
      </c>
      <c r="F104" s="39">
        <f t="shared" ref="F104:I108" si="23">F111+F118</f>
        <v>3812</v>
      </c>
      <c r="G104" s="39">
        <f t="shared" si="23"/>
        <v>6039.9</v>
      </c>
      <c r="H104" s="39">
        <f t="shared" si="23"/>
        <v>8161.3</v>
      </c>
      <c r="I104" s="39">
        <f t="shared" si="23"/>
        <v>8161.3</v>
      </c>
      <c r="J104" s="39">
        <v>0</v>
      </c>
    </row>
    <row r="105" spans="1:11" x14ac:dyDescent="0.25">
      <c r="A105" s="91"/>
      <c r="B105" s="94"/>
      <c r="C105" s="100"/>
      <c r="D105" s="80" t="s">
        <v>6</v>
      </c>
      <c r="E105" s="39">
        <f t="shared" si="20"/>
        <v>7642.625</v>
      </c>
      <c r="F105" s="39">
        <f t="shared" si="23"/>
        <v>1452</v>
      </c>
      <c r="G105" s="39">
        <f t="shared" si="23"/>
        <v>2109.9749999999999</v>
      </c>
      <c r="H105" s="39">
        <f t="shared" si="23"/>
        <v>2040.325</v>
      </c>
      <c r="I105" s="39">
        <f t="shared" si="23"/>
        <v>2040.325</v>
      </c>
      <c r="J105" s="39">
        <v>0</v>
      </c>
    </row>
    <row r="106" spans="1:11" ht="30" x14ac:dyDescent="0.25">
      <c r="A106" s="91"/>
      <c r="B106" s="94"/>
      <c r="C106" s="100"/>
      <c r="D106" s="80" t="s">
        <v>45</v>
      </c>
      <c r="E106" s="39">
        <f t="shared" si="20"/>
        <v>0</v>
      </c>
      <c r="F106" s="39">
        <f t="shared" si="23"/>
        <v>0</v>
      </c>
      <c r="G106" s="39">
        <f t="shared" si="23"/>
        <v>0</v>
      </c>
      <c r="H106" s="39">
        <f t="shared" si="23"/>
        <v>0</v>
      </c>
      <c r="I106" s="39">
        <v>0</v>
      </c>
      <c r="J106" s="39">
        <v>0</v>
      </c>
    </row>
    <row r="107" spans="1:11" x14ac:dyDescent="0.25">
      <c r="A107" s="91"/>
      <c r="B107" s="94"/>
      <c r="C107" s="100"/>
      <c r="D107" s="80" t="s">
        <v>44</v>
      </c>
      <c r="E107" s="39">
        <f t="shared" si="20"/>
        <v>0</v>
      </c>
      <c r="F107" s="39">
        <f t="shared" si="23"/>
        <v>0</v>
      </c>
      <c r="G107" s="39">
        <f t="shared" si="23"/>
        <v>0</v>
      </c>
      <c r="H107" s="39">
        <f t="shared" si="23"/>
        <v>0</v>
      </c>
      <c r="I107" s="39">
        <v>0</v>
      </c>
      <c r="J107" s="39">
        <v>0</v>
      </c>
    </row>
    <row r="108" spans="1:11" x14ac:dyDescent="0.25">
      <c r="A108" s="91"/>
      <c r="B108" s="94"/>
      <c r="C108" s="100"/>
      <c r="D108" s="80" t="s">
        <v>7</v>
      </c>
      <c r="E108" s="39">
        <f t="shared" si="20"/>
        <v>1100</v>
      </c>
      <c r="F108" s="39">
        <f t="shared" si="23"/>
        <v>0</v>
      </c>
      <c r="G108" s="39">
        <f t="shared" si="23"/>
        <v>1100</v>
      </c>
      <c r="H108" s="39">
        <f t="shared" si="23"/>
        <v>0</v>
      </c>
      <c r="I108" s="39">
        <v>0</v>
      </c>
      <c r="J108" s="39">
        <v>0</v>
      </c>
    </row>
    <row r="109" spans="1:11" x14ac:dyDescent="0.25">
      <c r="A109" s="91"/>
      <c r="B109" s="94"/>
      <c r="C109" s="98" t="s">
        <v>1</v>
      </c>
      <c r="D109" s="21" t="s">
        <v>3</v>
      </c>
      <c r="E109" s="70">
        <f t="shared" ref="E109:E122" si="24">SUM(F109:J109)</f>
        <v>34917.125</v>
      </c>
      <c r="F109" s="70">
        <f>SUM(F110:F115)</f>
        <v>5264</v>
      </c>
      <c r="G109" s="70">
        <f>SUM(G110:G115)</f>
        <v>9249.875</v>
      </c>
      <c r="H109" s="70">
        <f>SUM(H110:H115)</f>
        <v>10201.625</v>
      </c>
      <c r="I109" s="70">
        <f>SUM(I110:I115)</f>
        <v>10201.625</v>
      </c>
      <c r="J109" s="70">
        <f>SUM(J110:J115)</f>
        <v>0</v>
      </c>
    </row>
    <row r="110" spans="1:11" x14ac:dyDescent="0.25">
      <c r="A110" s="91"/>
      <c r="B110" s="94"/>
      <c r="C110" s="98"/>
      <c r="D110" s="80" t="s">
        <v>4</v>
      </c>
      <c r="E110" s="39">
        <f t="shared" si="24"/>
        <v>0</v>
      </c>
      <c r="F110" s="39">
        <f>F117+F96</f>
        <v>0</v>
      </c>
      <c r="G110" s="39">
        <v>0</v>
      </c>
      <c r="H110" s="39">
        <v>0</v>
      </c>
      <c r="I110" s="39">
        <v>0</v>
      </c>
      <c r="J110" s="39">
        <v>0</v>
      </c>
    </row>
    <row r="111" spans="1:11" x14ac:dyDescent="0.25">
      <c r="A111" s="91"/>
      <c r="B111" s="94"/>
      <c r="C111" s="98"/>
      <c r="D111" s="80" t="s">
        <v>5</v>
      </c>
      <c r="E111" s="39">
        <f t="shared" si="24"/>
        <v>26174.5</v>
      </c>
      <c r="F111" s="39">
        <v>3812</v>
      </c>
      <c r="G111" s="39">
        <v>6039.9</v>
      </c>
      <c r="H111" s="39">
        <v>8161.3</v>
      </c>
      <c r="I111" s="39">
        <v>8161.3</v>
      </c>
      <c r="J111" s="39"/>
    </row>
    <row r="112" spans="1:11" x14ac:dyDescent="0.25">
      <c r="A112" s="91"/>
      <c r="B112" s="94"/>
      <c r="C112" s="98"/>
      <c r="D112" s="80" t="s">
        <v>6</v>
      </c>
      <c r="E112" s="39">
        <f t="shared" si="24"/>
        <v>7642.625</v>
      </c>
      <c r="F112" s="39">
        <f>953+499</f>
        <v>1452</v>
      </c>
      <c r="G112" s="39">
        <f>1509.975+600</f>
        <v>2109.9749999999999</v>
      </c>
      <c r="H112" s="39">
        <v>2040.325</v>
      </c>
      <c r="I112" s="39">
        <v>2040.325</v>
      </c>
      <c r="J112" s="39"/>
    </row>
    <row r="113" spans="1:10" ht="30" x14ac:dyDescent="0.25">
      <c r="A113" s="91"/>
      <c r="B113" s="94"/>
      <c r="C113" s="98"/>
      <c r="D113" s="80" t="s">
        <v>45</v>
      </c>
      <c r="E113" s="39">
        <f t="shared" si="24"/>
        <v>0</v>
      </c>
      <c r="F113" s="39">
        <v>0</v>
      </c>
      <c r="G113" s="39">
        <v>0</v>
      </c>
      <c r="H113" s="39">
        <v>0</v>
      </c>
      <c r="I113" s="39">
        <v>0</v>
      </c>
      <c r="J113" s="39">
        <v>0</v>
      </c>
    </row>
    <row r="114" spans="1:10" x14ac:dyDescent="0.25">
      <c r="A114" s="91"/>
      <c r="B114" s="94"/>
      <c r="C114" s="98"/>
      <c r="D114" s="80" t="s">
        <v>44</v>
      </c>
      <c r="E114" s="39">
        <f t="shared" si="24"/>
        <v>0</v>
      </c>
      <c r="F114" s="39">
        <v>0</v>
      </c>
      <c r="G114" s="39">
        <v>0</v>
      </c>
      <c r="H114" s="39">
        <v>0</v>
      </c>
      <c r="I114" s="39">
        <v>0</v>
      </c>
      <c r="J114" s="39">
        <v>0</v>
      </c>
    </row>
    <row r="115" spans="1:10" x14ac:dyDescent="0.25">
      <c r="A115" s="91"/>
      <c r="B115" s="94"/>
      <c r="C115" s="98"/>
      <c r="D115" s="80" t="s">
        <v>7</v>
      </c>
      <c r="E115" s="39">
        <f t="shared" si="24"/>
        <v>1100</v>
      </c>
      <c r="F115" s="39">
        <f>1112.5-1112.5</f>
        <v>0</v>
      </c>
      <c r="G115" s="39">
        <f>500+600</f>
        <v>1100</v>
      </c>
      <c r="H115" s="39"/>
      <c r="I115" s="39"/>
      <c r="J115" s="39">
        <v>0</v>
      </c>
    </row>
    <row r="116" spans="1:10" x14ac:dyDescent="0.25">
      <c r="A116" s="91"/>
      <c r="B116" s="94"/>
      <c r="C116" s="98" t="s">
        <v>117</v>
      </c>
      <c r="D116" s="21" t="s">
        <v>3</v>
      </c>
      <c r="E116" s="70">
        <f t="shared" si="24"/>
        <v>0</v>
      </c>
      <c r="F116" s="70">
        <f>SUM(F117:F122)</f>
        <v>0</v>
      </c>
      <c r="G116" s="70">
        <f>SUM(G117:G122)</f>
        <v>0</v>
      </c>
      <c r="H116" s="70">
        <f>SUM(H117:H122)</f>
        <v>0</v>
      </c>
      <c r="I116" s="70">
        <v>0</v>
      </c>
      <c r="J116" s="70">
        <v>0</v>
      </c>
    </row>
    <row r="117" spans="1:10" x14ac:dyDescent="0.25">
      <c r="A117" s="91"/>
      <c r="B117" s="94"/>
      <c r="C117" s="98"/>
      <c r="D117" s="80" t="s">
        <v>4</v>
      </c>
      <c r="E117" s="39">
        <f t="shared" si="24"/>
        <v>0</v>
      </c>
      <c r="F117" s="39">
        <v>0</v>
      </c>
      <c r="G117" s="39">
        <v>0</v>
      </c>
      <c r="H117" s="39">
        <v>0</v>
      </c>
      <c r="I117" s="39">
        <v>0</v>
      </c>
      <c r="J117" s="39">
        <v>0</v>
      </c>
    </row>
    <row r="118" spans="1:10" x14ac:dyDescent="0.25">
      <c r="A118" s="91"/>
      <c r="B118" s="94"/>
      <c r="C118" s="98"/>
      <c r="D118" s="80" t="s">
        <v>5</v>
      </c>
      <c r="E118" s="39">
        <f t="shared" si="24"/>
        <v>0</v>
      </c>
      <c r="F118" s="39">
        <v>0</v>
      </c>
      <c r="G118" s="39">
        <v>0</v>
      </c>
      <c r="H118" s="39">
        <v>0</v>
      </c>
      <c r="I118" s="39">
        <v>0</v>
      </c>
      <c r="J118" s="39">
        <v>0</v>
      </c>
    </row>
    <row r="119" spans="1:10" x14ac:dyDescent="0.25">
      <c r="A119" s="91"/>
      <c r="B119" s="94"/>
      <c r="C119" s="98"/>
      <c r="D119" s="80" t="s">
        <v>6</v>
      </c>
      <c r="E119" s="39">
        <f t="shared" si="24"/>
        <v>0</v>
      </c>
      <c r="F119" s="39"/>
      <c r="G119" s="39"/>
      <c r="H119" s="39"/>
      <c r="I119" s="39"/>
      <c r="J119" s="39"/>
    </row>
    <row r="120" spans="1:10" ht="30" x14ac:dyDescent="0.25">
      <c r="A120" s="91"/>
      <c r="B120" s="94"/>
      <c r="C120" s="98"/>
      <c r="D120" s="80" t="s">
        <v>45</v>
      </c>
      <c r="E120" s="39">
        <f t="shared" si="24"/>
        <v>0</v>
      </c>
      <c r="F120" s="39"/>
      <c r="G120" s="39"/>
      <c r="H120" s="39"/>
      <c r="I120" s="39"/>
      <c r="J120" s="39"/>
    </row>
    <row r="121" spans="1:10" x14ac:dyDescent="0.25">
      <c r="A121" s="91"/>
      <c r="B121" s="94"/>
      <c r="C121" s="98"/>
      <c r="D121" s="80" t="s">
        <v>44</v>
      </c>
      <c r="E121" s="39">
        <f t="shared" si="24"/>
        <v>0</v>
      </c>
      <c r="F121" s="39"/>
      <c r="G121" s="39"/>
      <c r="H121" s="39"/>
      <c r="I121" s="39"/>
      <c r="J121" s="39"/>
    </row>
    <row r="122" spans="1:10" x14ac:dyDescent="0.25">
      <c r="A122" s="91"/>
      <c r="B122" s="94"/>
      <c r="C122" s="98"/>
      <c r="D122" s="80" t="s">
        <v>7</v>
      </c>
      <c r="E122" s="39">
        <f t="shared" si="24"/>
        <v>0</v>
      </c>
      <c r="F122" s="39">
        <f>110393.88-110393.88</f>
        <v>0</v>
      </c>
      <c r="G122" s="39"/>
      <c r="H122" s="39"/>
      <c r="I122" s="39"/>
      <c r="J122" s="39"/>
    </row>
    <row r="123" spans="1:10" x14ac:dyDescent="0.25">
      <c r="A123" s="92" t="s">
        <v>69</v>
      </c>
      <c r="B123" s="92"/>
      <c r="C123" s="92"/>
      <c r="D123" s="87" t="s">
        <v>3</v>
      </c>
      <c r="E123" s="70">
        <f>E124+E125+E126+E127+E129</f>
        <v>453835.76971000002</v>
      </c>
      <c r="F123" s="70">
        <f t="shared" ref="F123" si="25">SUM(F124:F129)</f>
        <v>65453.591240000002</v>
      </c>
      <c r="G123" s="70">
        <f>SUM(G124:G129)</f>
        <v>83974.078470000008</v>
      </c>
      <c r="H123" s="70">
        <f>SUM(H124:H129)</f>
        <v>57434.724999999999</v>
      </c>
      <c r="I123" s="70">
        <f>SUM(I124:I129)</f>
        <v>57555.974999999999</v>
      </c>
      <c r="J123" s="70">
        <f>SUM(J124:J129)</f>
        <v>189417.4</v>
      </c>
    </row>
    <row r="124" spans="1:10" x14ac:dyDescent="0.25">
      <c r="A124" s="92"/>
      <c r="B124" s="92"/>
      <c r="C124" s="92"/>
      <c r="D124" s="88" t="s">
        <v>4</v>
      </c>
      <c r="E124" s="39">
        <f t="shared" ref="E124:E129" si="26">SUM(F124:J124)</f>
        <v>0</v>
      </c>
      <c r="F124" s="39">
        <f t="shared" ref="F124:J129" si="27">F103+F96</f>
        <v>0</v>
      </c>
      <c r="G124" s="39">
        <f t="shared" si="27"/>
        <v>0</v>
      </c>
      <c r="H124" s="39">
        <f t="shared" si="27"/>
        <v>0</v>
      </c>
      <c r="I124" s="39">
        <f t="shared" si="27"/>
        <v>0</v>
      </c>
      <c r="J124" s="39">
        <f t="shared" si="27"/>
        <v>0</v>
      </c>
    </row>
    <row r="125" spans="1:10" x14ac:dyDescent="0.25">
      <c r="A125" s="92"/>
      <c r="B125" s="92"/>
      <c r="C125" s="92"/>
      <c r="D125" s="88" t="s">
        <v>5</v>
      </c>
      <c r="E125" s="39">
        <f t="shared" si="26"/>
        <v>26174.5</v>
      </c>
      <c r="F125" s="39">
        <f>F104+F97</f>
        <v>3812</v>
      </c>
      <c r="G125" s="39">
        <f>G104+G97</f>
        <v>6039.9</v>
      </c>
      <c r="H125" s="39">
        <f t="shared" si="27"/>
        <v>8161.3</v>
      </c>
      <c r="I125" s="39">
        <f>I104+I97</f>
        <v>8161.3</v>
      </c>
      <c r="J125" s="39">
        <f t="shared" si="27"/>
        <v>0</v>
      </c>
    </row>
    <row r="126" spans="1:10" x14ac:dyDescent="0.25">
      <c r="A126" s="92"/>
      <c r="B126" s="92"/>
      <c r="C126" s="92"/>
      <c r="D126" s="88" t="s">
        <v>6</v>
      </c>
      <c r="E126" s="39">
        <f t="shared" si="26"/>
        <v>426561.26971000002</v>
      </c>
      <c r="F126" s="39">
        <f>F105+F98</f>
        <v>61641.591240000002</v>
      </c>
      <c r="G126" s="39">
        <f>G105+G98</f>
        <v>76834.178470000013</v>
      </c>
      <c r="H126" s="39">
        <f>H105+H98</f>
        <v>49273.424999999996</v>
      </c>
      <c r="I126" s="39">
        <f>I105+I98</f>
        <v>49394.674999999996</v>
      </c>
      <c r="J126" s="39">
        <f>J105+J98</f>
        <v>189417.4</v>
      </c>
    </row>
    <row r="127" spans="1:10" ht="30" x14ac:dyDescent="0.25">
      <c r="A127" s="92"/>
      <c r="B127" s="92"/>
      <c r="C127" s="92"/>
      <c r="D127" s="89" t="s">
        <v>83</v>
      </c>
      <c r="E127" s="39">
        <f t="shared" si="26"/>
        <v>0</v>
      </c>
      <c r="F127" s="39">
        <f t="shared" si="27"/>
        <v>0</v>
      </c>
      <c r="G127" s="39">
        <f t="shared" si="27"/>
        <v>0</v>
      </c>
      <c r="H127" s="39">
        <f t="shared" si="27"/>
        <v>0</v>
      </c>
      <c r="I127" s="39">
        <f t="shared" si="27"/>
        <v>0</v>
      </c>
      <c r="J127" s="39">
        <f t="shared" si="27"/>
        <v>0</v>
      </c>
    </row>
    <row r="128" spans="1:10" x14ac:dyDescent="0.25">
      <c r="A128" s="92"/>
      <c r="B128" s="92"/>
      <c r="C128" s="92"/>
      <c r="D128" s="88" t="s">
        <v>84</v>
      </c>
      <c r="E128" s="39">
        <f t="shared" si="26"/>
        <v>0</v>
      </c>
      <c r="F128" s="39">
        <f t="shared" si="27"/>
        <v>0</v>
      </c>
      <c r="G128" s="39">
        <f t="shared" si="27"/>
        <v>0</v>
      </c>
      <c r="H128" s="39">
        <f t="shared" si="27"/>
        <v>0</v>
      </c>
      <c r="I128" s="39">
        <f t="shared" si="27"/>
        <v>0</v>
      </c>
      <c r="J128" s="39">
        <f t="shared" si="27"/>
        <v>0</v>
      </c>
    </row>
    <row r="129" spans="1:11" x14ac:dyDescent="0.25">
      <c r="A129" s="92"/>
      <c r="B129" s="92"/>
      <c r="C129" s="92"/>
      <c r="D129" s="88" t="s">
        <v>7</v>
      </c>
      <c r="E129" s="39">
        <f t="shared" si="26"/>
        <v>1100</v>
      </c>
      <c r="F129" s="39">
        <f t="shared" si="27"/>
        <v>0</v>
      </c>
      <c r="G129" s="39">
        <f>G108+G101</f>
        <v>1100</v>
      </c>
      <c r="H129" s="39">
        <f t="shared" si="27"/>
        <v>0</v>
      </c>
      <c r="I129" s="39">
        <f>I108+I101</f>
        <v>0</v>
      </c>
      <c r="J129" s="39">
        <f t="shared" si="27"/>
        <v>0</v>
      </c>
    </row>
    <row r="130" spans="1:11" ht="21.75" customHeight="1" x14ac:dyDescent="0.25">
      <c r="A130" s="91" t="s">
        <v>70</v>
      </c>
      <c r="B130" s="92"/>
      <c r="C130" s="92"/>
      <c r="D130" s="92"/>
      <c r="E130" s="92"/>
      <c r="F130" s="92"/>
      <c r="G130" s="92"/>
      <c r="H130" s="92"/>
      <c r="I130" s="92"/>
      <c r="J130" s="92"/>
    </row>
    <row r="131" spans="1:11" ht="15" customHeight="1" x14ac:dyDescent="0.25">
      <c r="A131" s="91" t="s">
        <v>62</v>
      </c>
      <c r="B131" s="94" t="s">
        <v>143</v>
      </c>
      <c r="C131" s="98" t="s">
        <v>1</v>
      </c>
      <c r="D131" s="21" t="s">
        <v>3</v>
      </c>
      <c r="E131" s="70">
        <f t="shared" ref="E131:E137" si="28">SUM(F131:J131)</f>
        <v>1276.2</v>
      </c>
      <c r="F131" s="70">
        <f t="shared" ref="F131:J131" si="29">SUM(F132:F137)</f>
        <v>70</v>
      </c>
      <c r="G131" s="70">
        <f t="shared" si="29"/>
        <v>126.2</v>
      </c>
      <c r="H131" s="70">
        <f t="shared" si="29"/>
        <v>180</v>
      </c>
      <c r="I131" s="70">
        <f t="shared" si="29"/>
        <v>180</v>
      </c>
      <c r="J131" s="70">
        <f t="shared" si="29"/>
        <v>720</v>
      </c>
    </row>
    <row r="132" spans="1:11" x14ac:dyDescent="0.25">
      <c r="A132" s="91"/>
      <c r="B132" s="94"/>
      <c r="C132" s="98"/>
      <c r="D132" s="80" t="s">
        <v>4</v>
      </c>
      <c r="E132" s="39">
        <f t="shared" si="28"/>
        <v>0</v>
      </c>
      <c r="F132" s="39">
        <v>0</v>
      </c>
      <c r="G132" s="39">
        <v>0</v>
      </c>
      <c r="H132" s="39">
        <v>0</v>
      </c>
      <c r="I132" s="39">
        <v>0</v>
      </c>
      <c r="J132" s="39">
        <v>0</v>
      </c>
    </row>
    <row r="133" spans="1:11" x14ac:dyDescent="0.25">
      <c r="A133" s="91"/>
      <c r="B133" s="94"/>
      <c r="C133" s="98"/>
      <c r="D133" s="80" t="s">
        <v>5</v>
      </c>
      <c r="E133" s="39">
        <f t="shared" si="28"/>
        <v>0</v>
      </c>
      <c r="F133" s="39">
        <v>0</v>
      </c>
      <c r="G133" s="39">
        <v>0</v>
      </c>
      <c r="H133" s="39">
        <v>0</v>
      </c>
      <c r="I133" s="39">
        <v>0</v>
      </c>
      <c r="J133" s="39">
        <v>0</v>
      </c>
    </row>
    <row r="134" spans="1:11" x14ac:dyDescent="0.25">
      <c r="A134" s="91"/>
      <c r="B134" s="94"/>
      <c r="C134" s="98"/>
      <c r="D134" s="80" t="s">
        <v>6</v>
      </c>
      <c r="E134" s="39">
        <f t="shared" si="28"/>
        <v>1276.2</v>
      </c>
      <c r="F134" s="39">
        <v>70</v>
      </c>
      <c r="G134" s="39">
        <f>180-53.8</f>
        <v>126.2</v>
      </c>
      <c r="H134" s="39">
        <v>180</v>
      </c>
      <c r="I134" s="39">
        <v>180</v>
      </c>
      <c r="J134" s="39">
        <f>I134*4</f>
        <v>720</v>
      </c>
    </row>
    <row r="135" spans="1:11" ht="30" x14ac:dyDescent="0.25">
      <c r="A135" s="91"/>
      <c r="B135" s="94"/>
      <c r="C135" s="98"/>
      <c r="D135" s="80" t="s">
        <v>45</v>
      </c>
      <c r="E135" s="39">
        <f t="shared" si="28"/>
        <v>0</v>
      </c>
      <c r="F135" s="39">
        <v>0</v>
      </c>
      <c r="G135" s="39">
        <v>0</v>
      </c>
      <c r="H135" s="39">
        <v>0</v>
      </c>
      <c r="I135" s="39">
        <v>0</v>
      </c>
      <c r="J135" s="39">
        <v>0</v>
      </c>
    </row>
    <row r="136" spans="1:11" ht="16.5" customHeight="1" x14ac:dyDescent="0.25">
      <c r="A136" s="91"/>
      <c r="B136" s="94"/>
      <c r="C136" s="98"/>
      <c r="D136" s="80" t="s">
        <v>44</v>
      </c>
      <c r="E136" s="39">
        <f t="shared" si="28"/>
        <v>0</v>
      </c>
      <c r="F136" s="39">
        <v>0</v>
      </c>
      <c r="G136" s="39">
        <v>0</v>
      </c>
      <c r="H136" s="39">
        <v>0</v>
      </c>
      <c r="I136" s="39">
        <v>0</v>
      </c>
      <c r="J136" s="39">
        <v>0</v>
      </c>
    </row>
    <row r="137" spans="1:11" ht="15" customHeight="1" x14ac:dyDescent="0.25">
      <c r="A137" s="91"/>
      <c r="B137" s="94"/>
      <c r="C137" s="98"/>
      <c r="D137" s="80" t="s">
        <v>7</v>
      </c>
      <c r="E137" s="39">
        <f t="shared" si="28"/>
        <v>0</v>
      </c>
      <c r="F137" s="39">
        <f>335.1-335.1</f>
        <v>0</v>
      </c>
      <c r="G137" s="39">
        <v>0</v>
      </c>
      <c r="H137" s="39">
        <v>0</v>
      </c>
      <c r="I137" s="39">
        <v>0</v>
      </c>
      <c r="J137" s="39">
        <v>0</v>
      </c>
      <c r="K137" s="48"/>
    </row>
    <row r="138" spans="1:11" x14ac:dyDescent="0.25">
      <c r="A138" s="92" t="s">
        <v>71</v>
      </c>
      <c r="B138" s="92"/>
      <c r="C138" s="92"/>
      <c r="D138" s="21" t="s">
        <v>3</v>
      </c>
      <c r="E138" s="70">
        <f t="shared" ref="E138:E151" si="30">SUM(F138:J138)</f>
        <v>1276.2</v>
      </c>
      <c r="F138" s="70">
        <f t="shared" ref="F138:J138" si="31">SUM(F139:F144)</f>
        <v>70</v>
      </c>
      <c r="G138" s="70">
        <f t="shared" si="31"/>
        <v>126.2</v>
      </c>
      <c r="H138" s="70">
        <f t="shared" si="31"/>
        <v>180</v>
      </c>
      <c r="I138" s="70">
        <f t="shared" si="31"/>
        <v>180</v>
      </c>
      <c r="J138" s="70">
        <f t="shared" si="31"/>
        <v>720</v>
      </c>
    </row>
    <row r="139" spans="1:11" x14ac:dyDescent="0.25">
      <c r="A139" s="92"/>
      <c r="B139" s="92"/>
      <c r="C139" s="92"/>
      <c r="D139" s="80" t="s">
        <v>4</v>
      </c>
      <c r="E139" s="39">
        <f t="shared" si="30"/>
        <v>0</v>
      </c>
      <c r="F139" s="39">
        <f t="shared" ref="F139:J144" si="32">F132</f>
        <v>0</v>
      </c>
      <c r="G139" s="39">
        <f t="shared" si="32"/>
        <v>0</v>
      </c>
      <c r="H139" s="39">
        <f t="shared" si="32"/>
        <v>0</v>
      </c>
      <c r="I139" s="39">
        <f t="shared" si="32"/>
        <v>0</v>
      </c>
      <c r="J139" s="39">
        <f t="shared" si="32"/>
        <v>0</v>
      </c>
    </row>
    <row r="140" spans="1:11" x14ac:dyDescent="0.25">
      <c r="A140" s="92"/>
      <c r="B140" s="92"/>
      <c r="C140" s="92"/>
      <c r="D140" s="80" t="s">
        <v>5</v>
      </c>
      <c r="E140" s="39">
        <f t="shared" si="30"/>
        <v>0</v>
      </c>
      <c r="F140" s="39">
        <f t="shared" si="32"/>
        <v>0</v>
      </c>
      <c r="G140" s="39">
        <f t="shared" si="32"/>
        <v>0</v>
      </c>
      <c r="H140" s="39">
        <f t="shared" si="32"/>
        <v>0</v>
      </c>
      <c r="I140" s="39">
        <f t="shared" si="32"/>
        <v>0</v>
      </c>
      <c r="J140" s="39">
        <f t="shared" si="32"/>
        <v>0</v>
      </c>
    </row>
    <row r="141" spans="1:11" x14ac:dyDescent="0.25">
      <c r="A141" s="92"/>
      <c r="B141" s="92"/>
      <c r="C141" s="92"/>
      <c r="D141" s="80" t="s">
        <v>6</v>
      </c>
      <c r="E141" s="39">
        <f t="shared" si="30"/>
        <v>1276.2</v>
      </c>
      <c r="F141" s="39">
        <f t="shared" si="32"/>
        <v>70</v>
      </c>
      <c r="G141" s="39">
        <f t="shared" si="32"/>
        <v>126.2</v>
      </c>
      <c r="H141" s="39">
        <f t="shared" si="32"/>
        <v>180</v>
      </c>
      <c r="I141" s="39">
        <f t="shared" si="32"/>
        <v>180</v>
      </c>
      <c r="J141" s="39">
        <f t="shared" si="32"/>
        <v>720</v>
      </c>
    </row>
    <row r="142" spans="1:11" ht="30" x14ac:dyDescent="0.25">
      <c r="A142" s="92"/>
      <c r="B142" s="92"/>
      <c r="C142" s="92"/>
      <c r="D142" s="80" t="s">
        <v>45</v>
      </c>
      <c r="E142" s="39">
        <f t="shared" si="30"/>
        <v>0</v>
      </c>
      <c r="F142" s="39">
        <f t="shared" si="32"/>
        <v>0</v>
      </c>
      <c r="G142" s="39">
        <f t="shared" si="32"/>
        <v>0</v>
      </c>
      <c r="H142" s="39">
        <f t="shared" si="32"/>
        <v>0</v>
      </c>
      <c r="I142" s="39">
        <f t="shared" si="32"/>
        <v>0</v>
      </c>
      <c r="J142" s="39">
        <f t="shared" si="32"/>
        <v>0</v>
      </c>
    </row>
    <row r="143" spans="1:11" x14ac:dyDescent="0.25">
      <c r="A143" s="92"/>
      <c r="B143" s="92"/>
      <c r="C143" s="92"/>
      <c r="D143" s="80" t="s">
        <v>44</v>
      </c>
      <c r="E143" s="39">
        <f t="shared" si="30"/>
        <v>0</v>
      </c>
      <c r="F143" s="39">
        <f t="shared" si="32"/>
        <v>0</v>
      </c>
      <c r="G143" s="39">
        <f t="shared" si="32"/>
        <v>0</v>
      </c>
      <c r="H143" s="39">
        <f t="shared" si="32"/>
        <v>0</v>
      </c>
      <c r="I143" s="39">
        <f t="shared" si="32"/>
        <v>0</v>
      </c>
      <c r="J143" s="39">
        <f t="shared" si="32"/>
        <v>0</v>
      </c>
    </row>
    <row r="144" spans="1:11" x14ac:dyDescent="0.25">
      <c r="A144" s="92"/>
      <c r="B144" s="92"/>
      <c r="C144" s="92"/>
      <c r="D144" s="80" t="s">
        <v>7</v>
      </c>
      <c r="E144" s="39">
        <f t="shared" si="30"/>
        <v>0</v>
      </c>
      <c r="F144" s="39">
        <f t="shared" si="32"/>
        <v>0</v>
      </c>
      <c r="G144" s="39">
        <f t="shared" si="32"/>
        <v>0</v>
      </c>
      <c r="H144" s="39">
        <f t="shared" si="32"/>
        <v>0</v>
      </c>
      <c r="I144" s="39">
        <f t="shared" si="32"/>
        <v>0</v>
      </c>
      <c r="J144" s="39">
        <f t="shared" si="32"/>
        <v>0</v>
      </c>
    </row>
    <row r="145" spans="1:13" x14ac:dyDescent="0.25">
      <c r="A145" s="91" t="s">
        <v>46</v>
      </c>
      <c r="B145" s="91"/>
      <c r="C145" s="91"/>
      <c r="D145" s="21" t="s">
        <v>3</v>
      </c>
      <c r="E145" s="70">
        <f>SUM(F145:J145)</f>
        <v>1612215.7432100002</v>
      </c>
      <c r="F145" s="70">
        <f>SUM(F146:F151)</f>
        <v>234292.30119999999</v>
      </c>
      <c r="G145" s="70">
        <f>SUM(G146:G151)</f>
        <v>302322.11747</v>
      </c>
      <c r="H145" s="70">
        <f t="shared" ref="H145:J145" si="33">SUM(H146:H151)</f>
        <v>187706.15409000003</v>
      </c>
      <c r="I145" s="70">
        <f t="shared" si="33"/>
        <v>188165.73409000001</v>
      </c>
      <c r="J145" s="70">
        <f t="shared" si="33"/>
        <v>699729.43636000005</v>
      </c>
    </row>
    <row r="146" spans="1:13" x14ac:dyDescent="0.25">
      <c r="A146" s="91"/>
      <c r="B146" s="91"/>
      <c r="C146" s="91"/>
      <c r="D146" s="21" t="s">
        <v>4</v>
      </c>
      <c r="E146" s="70">
        <f t="shared" si="30"/>
        <v>0</v>
      </c>
      <c r="F146" s="70">
        <f t="shared" ref="F146:J151" si="34">F81+F124+F139</f>
        <v>0</v>
      </c>
      <c r="G146" s="70">
        <f t="shared" si="34"/>
        <v>0</v>
      </c>
      <c r="H146" s="70">
        <f t="shared" si="34"/>
        <v>0</v>
      </c>
      <c r="I146" s="70">
        <f t="shared" si="34"/>
        <v>0</v>
      </c>
      <c r="J146" s="70">
        <f t="shared" si="34"/>
        <v>0</v>
      </c>
    </row>
    <row r="147" spans="1:13" x14ac:dyDescent="0.25">
      <c r="A147" s="91"/>
      <c r="B147" s="91"/>
      <c r="C147" s="91"/>
      <c r="D147" s="21" t="s">
        <v>5</v>
      </c>
      <c r="E147" s="70">
        <f t="shared" si="30"/>
        <v>39806.1</v>
      </c>
      <c r="F147" s="70">
        <f t="shared" si="34"/>
        <v>7480.1</v>
      </c>
      <c r="G147" s="70">
        <f t="shared" si="34"/>
        <v>11152.599999999999</v>
      </c>
      <c r="H147" s="70">
        <f t="shared" si="34"/>
        <v>10586.7</v>
      </c>
      <c r="I147" s="70">
        <f t="shared" si="34"/>
        <v>10586.7</v>
      </c>
      <c r="J147" s="70">
        <f t="shared" si="34"/>
        <v>0</v>
      </c>
    </row>
    <row r="148" spans="1:13" x14ac:dyDescent="0.25">
      <c r="A148" s="91"/>
      <c r="B148" s="91"/>
      <c r="C148" s="91"/>
      <c r="D148" s="21" t="s">
        <v>6</v>
      </c>
      <c r="E148" s="70">
        <f t="shared" si="30"/>
        <v>1553722.9042100001</v>
      </c>
      <c r="F148" s="70">
        <f t="shared" si="34"/>
        <v>224480.07819999999</v>
      </c>
      <c r="G148" s="70">
        <f t="shared" si="34"/>
        <v>274814.90147000004</v>
      </c>
      <c r="H148" s="70">
        <f t="shared" si="34"/>
        <v>177119.45409000001</v>
      </c>
      <c r="I148" s="70">
        <f t="shared" si="34"/>
        <v>177579.03409</v>
      </c>
      <c r="J148" s="70">
        <f t="shared" si="34"/>
        <v>699729.43636000005</v>
      </c>
      <c r="L148" s="53"/>
    </row>
    <row r="149" spans="1:13" ht="28.5" x14ac:dyDescent="0.25">
      <c r="A149" s="91"/>
      <c r="B149" s="91"/>
      <c r="C149" s="91"/>
      <c r="D149" s="21" t="s">
        <v>45</v>
      </c>
      <c r="E149" s="70">
        <f t="shared" si="30"/>
        <v>0</v>
      </c>
      <c r="F149" s="70">
        <f t="shared" si="34"/>
        <v>0</v>
      </c>
      <c r="G149" s="70">
        <f t="shared" si="34"/>
        <v>0</v>
      </c>
      <c r="H149" s="70">
        <f t="shared" si="34"/>
        <v>0</v>
      </c>
      <c r="I149" s="70">
        <f t="shared" si="34"/>
        <v>0</v>
      </c>
      <c r="J149" s="70">
        <f t="shared" si="34"/>
        <v>0</v>
      </c>
    </row>
    <row r="150" spans="1:13" x14ac:dyDescent="0.25">
      <c r="A150" s="91"/>
      <c r="B150" s="91"/>
      <c r="C150" s="91"/>
      <c r="D150" s="21" t="s">
        <v>44</v>
      </c>
      <c r="E150" s="70">
        <f t="shared" si="30"/>
        <v>0</v>
      </c>
      <c r="F150" s="70">
        <f t="shared" si="34"/>
        <v>0</v>
      </c>
      <c r="G150" s="70">
        <f t="shared" si="34"/>
        <v>0</v>
      </c>
      <c r="H150" s="70">
        <f t="shared" si="34"/>
        <v>0</v>
      </c>
      <c r="I150" s="70">
        <f t="shared" si="34"/>
        <v>0</v>
      </c>
      <c r="J150" s="70">
        <f t="shared" si="34"/>
        <v>0</v>
      </c>
    </row>
    <row r="151" spans="1:13" x14ac:dyDescent="0.25">
      <c r="A151" s="91"/>
      <c r="B151" s="91"/>
      <c r="C151" s="91"/>
      <c r="D151" s="21" t="s">
        <v>7</v>
      </c>
      <c r="E151" s="70">
        <f t="shared" si="30"/>
        <v>18686.738999999998</v>
      </c>
      <c r="F151" s="70">
        <f t="shared" si="34"/>
        <v>2332.1229999999996</v>
      </c>
      <c r="G151" s="70">
        <f t="shared" si="34"/>
        <v>16354.615999999998</v>
      </c>
      <c r="H151" s="70">
        <f t="shared" si="34"/>
        <v>0</v>
      </c>
      <c r="I151" s="70">
        <f t="shared" si="34"/>
        <v>0</v>
      </c>
      <c r="J151" s="70">
        <f t="shared" si="34"/>
        <v>0</v>
      </c>
    </row>
    <row r="152" spans="1:13" x14ac:dyDescent="0.25">
      <c r="A152" s="92" t="s">
        <v>47</v>
      </c>
      <c r="B152" s="92"/>
      <c r="C152" s="92"/>
      <c r="D152" s="80" t="s">
        <v>13</v>
      </c>
      <c r="E152" s="71" t="s">
        <v>13</v>
      </c>
      <c r="F152" s="71" t="s">
        <v>13</v>
      </c>
      <c r="G152" s="71"/>
      <c r="H152" s="71"/>
      <c r="I152" s="71"/>
      <c r="J152" s="71" t="s">
        <v>13</v>
      </c>
    </row>
    <row r="153" spans="1:13" x14ac:dyDescent="0.25">
      <c r="A153" s="90" t="s">
        <v>48</v>
      </c>
      <c r="B153" s="90"/>
      <c r="C153" s="90"/>
      <c r="D153" s="21" t="s">
        <v>3</v>
      </c>
      <c r="E153" s="72">
        <f>SUM(F153:J153)</f>
        <v>1274.4000000000001</v>
      </c>
      <c r="F153" s="72">
        <f>SUM(F154:F159)</f>
        <v>562.79999999999995</v>
      </c>
      <c r="G153" s="72">
        <f t="shared" ref="G153:J153" si="35">SUM(G154:G159)</f>
        <v>711.6</v>
      </c>
      <c r="H153" s="72">
        <f t="shared" si="35"/>
        <v>0</v>
      </c>
      <c r="I153" s="72">
        <f t="shared" si="35"/>
        <v>0</v>
      </c>
      <c r="J153" s="72">
        <f t="shared" si="35"/>
        <v>0</v>
      </c>
    </row>
    <row r="154" spans="1:13" x14ac:dyDescent="0.25">
      <c r="A154" s="90"/>
      <c r="B154" s="90"/>
      <c r="C154" s="90"/>
      <c r="D154" s="80" t="s">
        <v>4</v>
      </c>
      <c r="E154" s="72">
        <f t="shared" ref="E154:E166" si="36">SUM(F154:J154)</f>
        <v>0</v>
      </c>
      <c r="F154" s="73">
        <f t="shared" ref="F154:J155" si="37">F11+F18</f>
        <v>0</v>
      </c>
      <c r="G154" s="73">
        <f t="shared" si="37"/>
        <v>0</v>
      </c>
      <c r="H154" s="73">
        <f t="shared" si="37"/>
        <v>0</v>
      </c>
      <c r="I154" s="73">
        <f t="shared" si="37"/>
        <v>0</v>
      </c>
      <c r="J154" s="73">
        <f t="shared" si="37"/>
        <v>0</v>
      </c>
    </row>
    <row r="155" spans="1:13" x14ac:dyDescent="0.25">
      <c r="A155" s="90"/>
      <c r="B155" s="90"/>
      <c r="C155" s="90"/>
      <c r="D155" s="80" t="s">
        <v>5</v>
      </c>
      <c r="E155" s="72">
        <f t="shared" si="36"/>
        <v>0</v>
      </c>
      <c r="F155" s="73">
        <f t="shared" si="37"/>
        <v>0</v>
      </c>
      <c r="G155" s="73">
        <f t="shared" si="37"/>
        <v>0</v>
      </c>
      <c r="H155" s="73">
        <f t="shared" si="37"/>
        <v>0</v>
      </c>
      <c r="I155" s="73">
        <f t="shared" si="37"/>
        <v>0</v>
      </c>
      <c r="J155" s="73">
        <f t="shared" si="37"/>
        <v>0</v>
      </c>
    </row>
    <row r="156" spans="1:13" ht="18.75" x14ac:dyDescent="0.3">
      <c r="A156" s="90"/>
      <c r="B156" s="90"/>
      <c r="C156" s="90"/>
      <c r="D156" s="80" t="s">
        <v>6</v>
      </c>
      <c r="E156" s="72">
        <f t="shared" si="36"/>
        <v>1274.4000000000001</v>
      </c>
      <c r="F156" s="73">
        <f>F13+F20+F27</f>
        <v>562.79999999999995</v>
      </c>
      <c r="G156" s="73">
        <f>G13+G20+G27</f>
        <v>711.6</v>
      </c>
      <c r="H156" s="73">
        <f>H13+H20+H27</f>
        <v>0</v>
      </c>
      <c r="I156" s="73">
        <f>I13+I20+I27</f>
        <v>0</v>
      </c>
      <c r="J156" s="73">
        <f>J13+J20+J27</f>
        <v>0</v>
      </c>
      <c r="K156" s="60"/>
      <c r="L156" s="60"/>
      <c r="M156" s="60"/>
    </row>
    <row r="157" spans="1:13" ht="30" x14ac:dyDescent="0.25">
      <c r="A157" s="90"/>
      <c r="B157" s="90"/>
      <c r="C157" s="90"/>
      <c r="D157" s="80" t="s">
        <v>45</v>
      </c>
      <c r="E157" s="72">
        <f t="shared" si="36"/>
        <v>0</v>
      </c>
      <c r="F157" s="73">
        <f>F14+F21</f>
        <v>0</v>
      </c>
      <c r="G157" s="73">
        <f>G14+G21</f>
        <v>0</v>
      </c>
      <c r="H157" s="73">
        <f>H14+H21</f>
        <v>0</v>
      </c>
      <c r="I157" s="73">
        <f>I14+I21</f>
        <v>0</v>
      </c>
      <c r="J157" s="73">
        <f>J14+J21</f>
        <v>0</v>
      </c>
    </row>
    <row r="158" spans="1:13" x14ac:dyDescent="0.25">
      <c r="A158" s="90"/>
      <c r="B158" s="90"/>
      <c r="C158" s="90"/>
      <c r="D158" s="80" t="s">
        <v>44</v>
      </c>
      <c r="E158" s="72">
        <f t="shared" si="36"/>
        <v>0</v>
      </c>
      <c r="F158" s="73">
        <f>F15+F22</f>
        <v>0</v>
      </c>
      <c r="G158" s="73">
        <f>G57</f>
        <v>0</v>
      </c>
      <c r="H158" s="73">
        <f>H57</f>
        <v>0</v>
      </c>
      <c r="I158" s="73">
        <f>I57</f>
        <v>0</v>
      </c>
      <c r="J158" s="73">
        <f>J57</f>
        <v>0</v>
      </c>
    </row>
    <row r="159" spans="1:13" x14ac:dyDescent="0.25">
      <c r="A159" s="90"/>
      <c r="B159" s="90"/>
      <c r="C159" s="90"/>
      <c r="D159" s="80" t="s">
        <v>7</v>
      </c>
      <c r="E159" s="72">
        <f t="shared" si="36"/>
        <v>0</v>
      </c>
      <c r="F159" s="73">
        <f>F16+F23+F30</f>
        <v>0</v>
      </c>
      <c r="G159" s="73">
        <f>G16+G23+G30</f>
        <v>0</v>
      </c>
      <c r="H159" s="73">
        <f>H16+H23+H30</f>
        <v>0</v>
      </c>
      <c r="I159" s="73">
        <f>I16+I23+I30</f>
        <v>0</v>
      </c>
      <c r="J159" s="73">
        <f>J16+J23+J30</f>
        <v>0</v>
      </c>
    </row>
    <row r="160" spans="1:13" x14ac:dyDescent="0.25">
      <c r="A160" s="90" t="s">
        <v>49</v>
      </c>
      <c r="B160" s="90"/>
      <c r="C160" s="90"/>
      <c r="D160" s="21" t="s">
        <v>3</v>
      </c>
      <c r="E160" s="70">
        <f t="shared" si="36"/>
        <v>1610941.3432100001</v>
      </c>
      <c r="F160" s="70">
        <f t="shared" ref="F160:J160" si="38">SUM(F161:F166)</f>
        <v>233729.5012</v>
      </c>
      <c r="G160" s="70">
        <f t="shared" si="38"/>
        <v>301610.51746999996</v>
      </c>
      <c r="H160" s="70">
        <f t="shared" si="38"/>
        <v>187706.15409000003</v>
      </c>
      <c r="I160" s="70">
        <f t="shared" si="38"/>
        <v>188165.73409000001</v>
      </c>
      <c r="J160" s="70">
        <f t="shared" si="38"/>
        <v>699729.43636000005</v>
      </c>
    </row>
    <row r="161" spans="1:12" x14ac:dyDescent="0.25">
      <c r="A161" s="90"/>
      <c r="B161" s="90"/>
      <c r="C161" s="90"/>
      <c r="D161" s="80" t="s">
        <v>4</v>
      </c>
      <c r="E161" s="39">
        <f t="shared" si="36"/>
        <v>0</v>
      </c>
      <c r="F161" s="39">
        <f>F39+F60+F32+F67+F74+F103+F96++F132</f>
        <v>0</v>
      </c>
      <c r="G161" s="39">
        <f>G39+G60+G32+G67+G74+G103+G96++G132</f>
        <v>0</v>
      </c>
      <c r="H161" s="39">
        <f>H39+H60+H32+H67+H74+H103+H96++H132</f>
        <v>0</v>
      </c>
      <c r="I161" s="39">
        <f>I39+I60+I32+I67+I74+I103+I96++I132</f>
        <v>0</v>
      </c>
      <c r="J161" s="39">
        <f>J39+J60+J32+J67+J74+J103+J96++J132</f>
        <v>0</v>
      </c>
    </row>
    <row r="162" spans="1:12" x14ac:dyDescent="0.25">
      <c r="A162" s="90"/>
      <c r="B162" s="90"/>
      <c r="C162" s="90"/>
      <c r="D162" s="80" t="s">
        <v>5</v>
      </c>
      <c r="E162" s="39">
        <f t="shared" si="36"/>
        <v>39806.1</v>
      </c>
      <c r="F162" s="39">
        <f>F40+F61+F33+F68+F75+F104++F97+F133</f>
        <v>7480.1</v>
      </c>
      <c r="G162" s="39">
        <f>G40+G61+G33+G68+G75+G104++G97+G133</f>
        <v>11152.599999999999</v>
      </c>
      <c r="H162" s="39">
        <f>H40+H61+H33+H68+H75+H104++H97+H133</f>
        <v>10586.7</v>
      </c>
      <c r="I162" s="39">
        <f>I40+I61+I33+I68+I75+I104++I97+I133</f>
        <v>10586.7</v>
      </c>
      <c r="J162" s="39">
        <f>J40+J61+J33+J68+J75+J104++J97+J133</f>
        <v>0</v>
      </c>
    </row>
    <row r="163" spans="1:12" x14ac:dyDescent="0.25">
      <c r="A163" s="90"/>
      <c r="B163" s="90"/>
      <c r="C163" s="90"/>
      <c r="D163" s="80" t="s">
        <v>6</v>
      </c>
      <c r="E163" s="39">
        <f t="shared" si="36"/>
        <v>1552448.5042099999</v>
      </c>
      <c r="F163" s="39">
        <f t="shared" ref="F163:J166" si="39">F41+F62+F34+F69+F76+F105+F98+F134</f>
        <v>223917.2782</v>
      </c>
      <c r="G163" s="39">
        <f t="shared" si="39"/>
        <v>274103.30147000001</v>
      </c>
      <c r="H163" s="39">
        <f t="shared" si="39"/>
        <v>177119.45409000001</v>
      </c>
      <c r="I163" s="39">
        <f t="shared" si="39"/>
        <v>177579.03409</v>
      </c>
      <c r="J163" s="39">
        <f t="shared" si="39"/>
        <v>699729.43636000005</v>
      </c>
      <c r="L163" s="53"/>
    </row>
    <row r="164" spans="1:12" ht="30" x14ac:dyDescent="0.25">
      <c r="A164" s="90"/>
      <c r="B164" s="90"/>
      <c r="C164" s="90"/>
      <c r="D164" s="80" t="s">
        <v>45</v>
      </c>
      <c r="E164" s="39">
        <f t="shared" si="36"/>
        <v>0</v>
      </c>
      <c r="F164" s="39">
        <f t="shared" si="39"/>
        <v>0</v>
      </c>
      <c r="G164" s="39">
        <f t="shared" si="39"/>
        <v>0</v>
      </c>
      <c r="H164" s="39">
        <f t="shared" si="39"/>
        <v>0</v>
      </c>
      <c r="I164" s="39">
        <f t="shared" si="39"/>
        <v>0</v>
      </c>
      <c r="J164" s="39">
        <f t="shared" si="39"/>
        <v>0</v>
      </c>
    </row>
    <row r="165" spans="1:12" x14ac:dyDescent="0.25">
      <c r="A165" s="90"/>
      <c r="B165" s="90"/>
      <c r="C165" s="90"/>
      <c r="D165" s="80" t="s">
        <v>44</v>
      </c>
      <c r="E165" s="39">
        <f t="shared" si="36"/>
        <v>0</v>
      </c>
      <c r="F165" s="39">
        <f t="shared" si="39"/>
        <v>0</v>
      </c>
      <c r="G165" s="39">
        <f t="shared" si="39"/>
        <v>0</v>
      </c>
      <c r="H165" s="39">
        <f t="shared" si="39"/>
        <v>0</v>
      </c>
      <c r="I165" s="39">
        <f t="shared" si="39"/>
        <v>0</v>
      </c>
      <c r="J165" s="39">
        <f t="shared" si="39"/>
        <v>0</v>
      </c>
    </row>
    <row r="166" spans="1:12" x14ac:dyDescent="0.25">
      <c r="A166" s="90"/>
      <c r="B166" s="90"/>
      <c r="C166" s="90"/>
      <c r="D166" s="80" t="s">
        <v>7</v>
      </c>
      <c r="E166" s="39">
        <f t="shared" si="36"/>
        <v>18686.738999999998</v>
      </c>
      <c r="F166" s="39">
        <f t="shared" si="39"/>
        <v>2332.1229999999996</v>
      </c>
      <c r="G166" s="39">
        <f>G44+G65+G37+G72+G79+G108+G101+G137</f>
        <v>16354.615999999998</v>
      </c>
      <c r="H166" s="39">
        <f t="shared" si="39"/>
        <v>0</v>
      </c>
      <c r="I166" s="39">
        <f t="shared" si="39"/>
        <v>0</v>
      </c>
      <c r="J166" s="39">
        <f t="shared" si="39"/>
        <v>0</v>
      </c>
    </row>
    <row r="167" spans="1:12" x14ac:dyDescent="0.25">
      <c r="A167" s="93" t="s">
        <v>47</v>
      </c>
      <c r="B167" s="93"/>
      <c r="C167" s="93"/>
      <c r="D167" s="80" t="s">
        <v>13</v>
      </c>
      <c r="E167" s="39">
        <v>0</v>
      </c>
      <c r="F167" s="39"/>
      <c r="G167" s="39"/>
      <c r="H167" s="39"/>
      <c r="I167" s="39"/>
      <c r="J167" s="39"/>
    </row>
    <row r="168" spans="1:12" x14ac:dyDescent="0.25">
      <c r="A168" s="90" t="s">
        <v>50</v>
      </c>
      <c r="B168" s="90"/>
      <c r="C168" s="90"/>
      <c r="D168" s="21" t="s">
        <v>3</v>
      </c>
      <c r="E168" s="70">
        <f t="shared" ref="E168:E181" si="40">SUM(F168:J168)</f>
        <v>0</v>
      </c>
      <c r="F168" s="70">
        <f t="shared" ref="F168:J168" si="41">SUM(F169:F174)</f>
        <v>0</v>
      </c>
      <c r="G168" s="70">
        <f t="shared" si="41"/>
        <v>0</v>
      </c>
      <c r="H168" s="70">
        <f t="shared" si="41"/>
        <v>0</v>
      </c>
      <c r="I168" s="70">
        <f t="shared" si="41"/>
        <v>0</v>
      </c>
      <c r="J168" s="70">
        <f t="shared" si="41"/>
        <v>0</v>
      </c>
    </row>
    <row r="169" spans="1:12" x14ac:dyDescent="0.25">
      <c r="A169" s="90"/>
      <c r="B169" s="90"/>
      <c r="C169" s="90"/>
      <c r="D169" s="80" t="s">
        <v>4</v>
      </c>
      <c r="E169" s="39">
        <f t="shared" si="40"/>
        <v>0</v>
      </c>
      <c r="F169" s="74">
        <f t="shared" ref="F169:J174" si="42">F53</f>
        <v>0</v>
      </c>
      <c r="G169" s="74">
        <f t="shared" si="42"/>
        <v>0</v>
      </c>
      <c r="H169" s="74">
        <f t="shared" si="42"/>
        <v>0</v>
      </c>
      <c r="I169" s="74">
        <f t="shared" si="42"/>
        <v>0</v>
      </c>
      <c r="J169" s="74">
        <f t="shared" si="42"/>
        <v>0</v>
      </c>
    </row>
    <row r="170" spans="1:12" x14ac:dyDescent="0.25">
      <c r="A170" s="90"/>
      <c r="B170" s="90"/>
      <c r="C170" s="90"/>
      <c r="D170" s="80" t="s">
        <v>5</v>
      </c>
      <c r="E170" s="39">
        <f t="shared" si="40"/>
        <v>0</v>
      </c>
      <c r="F170" s="74">
        <f t="shared" si="42"/>
        <v>0</v>
      </c>
      <c r="G170" s="74">
        <f t="shared" si="42"/>
        <v>0</v>
      </c>
      <c r="H170" s="74">
        <f t="shared" si="42"/>
        <v>0</v>
      </c>
      <c r="I170" s="74">
        <f t="shared" si="42"/>
        <v>0</v>
      </c>
      <c r="J170" s="74">
        <f t="shared" si="42"/>
        <v>0</v>
      </c>
    </row>
    <row r="171" spans="1:12" x14ac:dyDescent="0.25">
      <c r="A171" s="90"/>
      <c r="B171" s="90"/>
      <c r="C171" s="90"/>
      <c r="D171" s="80" t="s">
        <v>6</v>
      </c>
      <c r="E171" s="39">
        <f t="shared" si="40"/>
        <v>0</v>
      </c>
      <c r="F171" s="74">
        <f t="shared" si="42"/>
        <v>0</v>
      </c>
      <c r="G171" s="74">
        <f t="shared" si="42"/>
        <v>0</v>
      </c>
      <c r="H171" s="74">
        <f t="shared" si="42"/>
        <v>0</v>
      </c>
      <c r="I171" s="74">
        <f t="shared" si="42"/>
        <v>0</v>
      </c>
      <c r="J171" s="74">
        <f t="shared" si="42"/>
        <v>0</v>
      </c>
    </row>
    <row r="172" spans="1:12" ht="30" x14ac:dyDescent="0.25">
      <c r="A172" s="90"/>
      <c r="B172" s="90"/>
      <c r="C172" s="90"/>
      <c r="D172" s="80" t="s">
        <v>45</v>
      </c>
      <c r="E172" s="39">
        <f t="shared" si="40"/>
        <v>0</v>
      </c>
      <c r="F172" s="74">
        <f t="shared" si="42"/>
        <v>0</v>
      </c>
      <c r="G172" s="74">
        <f t="shared" si="42"/>
        <v>0</v>
      </c>
      <c r="H172" s="74">
        <f t="shared" si="42"/>
        <v>0</v>
      </c>
      <c r="I172" s="74">
        <f t="shared" si="42"/>
        <v>0</v>
      </c>
      <c r="J172" s="74">
        <f t="shared" si="42"/>
        <v>0</v>
      </c>
    </row>
    <row r="173" spans="1:12" x14ac:dyDescent="0.25">
      <c r="A173" s="90"/>
      <c r="B173" s="90"/>
      <c r="C173" s="90"/>
      <c r="D173" s="80" t="s">
        <v>44</v>
      </c>
      <c r="E173" s="39">
        <f t="shared" si="40"/>
        <v>0</v>
      </c>
      <c r="F173" s="74">
        <f t="shared" si="42"/>
        <v>0</v>
      </c>
      <c r="G173" s="74">
        <f t="shared" si="42"/>
        <v>0</v>
      </c>
      <c r="H173" s="74">
        <f t="shared" si="42"/>
        <v>0</v>
      </c>
      <c r="I173" s="74">
        <f t="shared" si="42"/>
        <v>0</v>
      </c>
      <c r="J173" s="74">
        <f t="shared" si="42"/>
        <v>0</v>
      </c>
    </row>
    <row r="174" spans="1:12" x14ac:dyDescent="0.25">
      <c r="A174" s="90"/>
      <c r="B174" s="90"/>
      <c r="C174" s="90"/>
      <c r="D174" s="80" t="s">
        <v>7</v>
      </c>
      <c r="E174" s="39">
        <f t="shared" si="40"/>
        <v>0</v>
      </c>
      <c r="F174" s="74">
        <f t="shared" si="42"/>
        <v>0</v>
      </c>
      <c r="G174" s="74">
        <f t="shared" si="42"/>
        <v>0</v>
      </c>
      <c r="H174" s="74">
        <f t="shared" si="42"/>
        <v>0</v>
      </c>
      <c r="I174" s="74">
        <f t="shared" si="42"/>
        <v>0</v>
      </c>
      <c r="J174" s="74">
        <f t="shared" si="42"/>
        <v>0</v>
      </c>
    </row>
    <row r="175" spans="1:12" x14ac:dyDescent="0.25">
      <c r="A175" s="90" t="s">
        <v>51</v>
      </c>
      <c r="B175" s="90"/>
      <c r="C175" s="90"/>
      <c r="D175" s="21" t="s">
        <v>3</v>
      </c>
      <c r="E175" s="70">
        <f t="shared" si="40"/>
        <v>1612215.7432100002</v>
      </c>
      <c r="F175" s="70">
        <f>SUM(F176:F181)</f>
        <v>234292.30119999999</v>
      </c>
      <c r="G175" s="70">
        <f t="shared" ref="G175:J175" si="43">SUM(G176:G181)</f>
        <v>302322.11747</v>
      </c>
      <c r="H175" s="70">
        <f t="shared" si="43"/>
        <v>187706.15409000003</v>
      </c>
      <c r="I175" s="70">
        <f t="shared" si="43"/>
        <v>188165.73409000001</v>
      </c>
      <c r="J175" s="70">
        <f t="shared" si="43"/>
        <v>699729.43636000005</v>
      </c>
    </row>
    <row r="176" spans="1:12" x14ac:dyDescent="0.25">
      <c r="A176" s="90"/>
      <c r="B176" s="90"/>
      <c r="C176" s="90"/>
      <c r="D176" s="80" t="s">
        <v>4</v>
      </c>
      <c r="E176" s="39">
        <f t="shared" si="40"/>
        <v>0</v>
      </c>
      <c r="F176" s="39">
        <f t="shared" ref="F176:J181" si="44">F146-F169</f>
        <v>0</v>
      </c>
      <c r="G176" s="39">
        <f t="shared" si="44"/>
        <v>0</v>
      </c>
      <c r="H176" s="39">
        <f t="shared" si="44"/>
        <v>0</v>
      </c>
      <c r="I176" s="39">
        <f t="shared" si="44"/>
        <v>0</v>
      </c>
      <c r="J176" s="39">
        <f t="shared" si="44"/>
        <v>0</v>
      </c>
    </row>
    <row r="177" spans="1:10" x14ac:dyDescent="0.25">
      <c r="A177" s="90"/>
      <c r="B177" s="90"/>
      <c r="C177" s="90"/>
      <c r="D177" s="80" t="s">
        <v>5</v>
      </c>
      <c r="E177" s="39">
        <f t="shared" si="40"/>
        <v>39806.1</v>
      </c>
      <c r="F177" s="39">
        <f t="shared" si="44"/>
        <v>7480.1</v>
      </c>
      <c r="G177" s="39">
        <f>G147-G170</f>
        <v>11152.599999999999</v>
      </c>
      <c r="H177" s="39">
        <f t="shared" si="44"/>
        <v>10586.7</v>
      </c>
      <c r="I177" s="39">
        <f t="shared" si="44"/>
        <v>10586.7</v>
      </c>
      <c r="J177" s="39">
        <f t="shared" si="44"/>
        <v>0</v>
      </c>
    </row>
    <row r="178" spans="1:10" x14ac:dyDescent="0.25">
      <c r="A178" s="90"/>
      <c r="B178" s="90"/>
      <c r="C178" s="90"/>
      <c r="D178" s="80" t="s">
        <v>6</v>
      </c>
      <c r="E178" s="39">
        <f t="shared" si="40"/>
        <v>1553722.9042100001</v>
      </c>
      <c r="F178" s="39">
        <f t="shared" si="44"/>
        <v>224480.07819999999</v>
      </c>
      <c r="G178" s="39">
        <f t="shared" si="44"/>
        <v>274814.90147000004</v>
      </c>
      <c r="H178" s="39">
        <f t="shared" si="44"/>
        <v>177119.45409000001</v>
      </c>
      <c r="I178" s="39">
        <f t="shared" si="44"/>
        <v>177579.03409</v>
      </c>
      <c r="J178" s="39">
        <f t="shared" si="44"/>
        <v>699729.43636000005</v>
      </c>
    </row>
    <row r="179" spans="1:10" ht="30" x14ac:dyDescent="0.25">
      <c r="A179" s="90"/>
      <c r="B179" s="90"/>
      <c r="C179" s="90"/>
      <c r="D179" s="80" t="s">
        <v>45</v>
      </c>
      <c r="E179" s="39">
        <f t="shared" si="40"/>
        <v>0</v>
      </c>
      <c r="F179" s="39">
        <f t="shared" si="44"/>
        <v>0</v>
      </c>
      <c r="G179" s="39">
        <f t="shared" si="44"/>
        <v>0</v>
      </c>
      <c r="H179" s="39">
        <f t="shared" si="44"/>
        <v>0</v>
      </c>
      <c r="I179" s="39">
        <f t="shared" si="44"/>
        <v>0</v>
      </c>
      <c r="J179" s="39">
        <f t="shared" si="44"/>
        <v>0</v>
      </c>
    </row>
    <row r="180" spans="1:10" x14ac:dyDescent="0.25">
      <c r="A180" s="90"/>
      <c r="B180" s="90"/>
      <c r="C180" s="90"/>
      <c r="D180" s="80" t="s">
        <v>44</v>
      </c>
      <c r="E180" s="39">
        <f t="shared" si="40"/>
        <v>0</v>
      </c>
      <c r="F180" s="39">
        <f t="shared" si="44"/>
        <v>0</v>
      </c>
      <c r="G180" s="39">
        <f t="shared" si="44"/>
        <v>0</v>
      </c>
      <c r="H180" s="39">
        <f t="shared" si="44"/>
        <v>0</v>
      </c>
      <c r="I180" s="39">
        <f t="shared" si="44"/>
        <v>0</v>
      </c>
      <c r="J180" s="39">
        <f t="shared" si="44"/>
        <v>0</v>
      </c>
    </row>
    <row r="181" spans="1:10" x14ac:dyDescent="0.25">
      <c r="A181" s="90"/>
      <c r="B181" s="90"/>
      <c r="C181" s="90"/>
      <c r="D181" s="80" t="s">
        <v>7</v>
      </c>
      <c r="E181" s="39">
        <f t="shared" si="40"/>
        <v>18686.738999999998</v>
      </c>
      <c r="F181" s="39">
        <f>F151</f>
        <v>2332.1229999999996</v>
      </c>
      <c r="G181" s="39">
        <f>G151-G174</f>
        <v>16354.615999999998</v>
      </c>
      <c r="H181" s="39">
        <f>H151-H174</f>
        <v>0</v>
      </c>
      <c r="I181" s="39">
        <f t="shared" si="44"/>
        <v>0</v>
      </c>
      <c r="J181" s="39">
        <f t="shared" si="44"/>
        <v>0</v>
      </c>
    </row>
    <row r="182" spans="1:10" x14ac:dyDescent="0.25">
      <c r="A182" s="93" t="s">
        <v>35</v>
      </c>
      <c r="B182" s="93"/>
      <c r="C182" s="93"/>
      <c r="D182" s="80"/>
      <c r="E182" s="39">
        <v>0</v>
      </c>
      <c r="F182" s="39"/>
      <c r="G182" s="39"/>
      <c r="H182" s="39"/>
      <c r="I182" s="39"/>
      <c r="J182" s="39"/>
    </row>
    <row r="183" spans="1:10" x14ac:dyDescent="0.25">
      <c r="A183" s="90" t="s">
        <v>64</v>
      </c>
      <c r="B183" s="90"/>
      <c r="C183" s="90"/>
      <c r="D183" s="21" t="s">
        <v>3</v>
      </c>
      <c r="E183" s="70">
        <f t="shared" ref="E183:E196" si="45">SUM(F183:J183)</f>
        <v>1612215.74321</v>
      </c>
      <c r="F183" s="70">
        <f t="shared" ref="F183:J183" si="46">SUM(F184:F189)</f>
        <v>234292.30119999999</v>
      </c>
      <c r="G183" s="70">
        <f t="shared" si="46"/>
        <v>302322.11746999994</v>
      </c>
      <c r="H183" s="70">
        <f t="shared" si="46"/>
        <v>187706.15409000003</v>
      </c>
      <c r="I183" s="70">
        <f t="shared" si="46"/>
        <v>188165.73409000001</v>
      </c>
      <c r="J183" s="70">
        <f t="shared" si="46"/>
        <v>699729.43636000005</v>
      </c>
    </row>
    <row r="184" spans="1:10" x14ac:dyDescent="0.25">
      <c r="A184" s="90"/>
      <c r="B184" s="90"/>
      <c r="C184" s="90"/>
      <c r="D184" s="80" t="s">
        <v>4</v>
      </c>
      <c r="E184" s="39">
        <f t="shared" si="45"/>
        <v>0</v>
      </c>
      <c r="F184" s="39">
        <f t="shared" ref="F184:J185" si="47">F11+F46+F60+F32+F67+F74+F110+F96+F132+F18</f>
        <v>0</v>
      </c>
      <c r="G184" s="39">
        <f t="shared" si="47"/>
        <v>0</v>
      </c>
      <c r="H184" s="39">
        <f t="shared" si="47"/>
        <v>0</v>
      </c>
      <c r="I184" s="39">
        <f t="shared" si="47"/>
        <v>0</v>
      </c>
      <c r="J184" s="39">
        <f t="shared" si="47"/>
        <v>0</v>
      </c>
    </row>
    <row r="185" spans="1:10" x14ac:dyDescent="0.25">
      <c r="A185" s="90"/>
      <c r="B185" s="90"/>
      <c r="C185" s="90"/>
      <c r="D185" s="80" t="s">
        <v>5</v>
      </c>
      <c r="E185" s="39">
        <f t="shared" si="45"/>
        <v>39806.1</v>
      </c>
      <c r="F185" s="39">
        <f t="shared" si="47"/>
        <v>7480.1</v>
      </c>
      <c r="G185" s="39">
        <f t="shared" si="47"/>
        <v>11152.599999999999</v>
      </c>
      <c r="H185" s="39">
        <f t="shared" si="47"/>
        <v>10586.7</v>
      </c>
      <c r="I185" s="39">
        <f t="shared" si="47"/>
        <v>10586.7</v>
      </c>
      <c r="J185" s="39">
        <f t="shared" si="47"/>
        <v>0</v>
      </c>
    </row>
    <row r="186" spans="1:10" x14ac:dyDescent="0.25">
      <c r="A186" s="90"/>
      <c r="B186" s="90"/>
      <c r="C186" s="90"/>
      <c r="D186" s="80" t="s">
        <v>6</v>
      </c>
      <c r="E186" s="39">
        <f t="shared" si="45"/>
        <v>1553722.9042099998</v>
      </c>
      <c r="F186" s="39">
        <f>F13+F48+F62+F34+F69+F76+F112+F98+F134+F20</f>
        <v>224480.07819999999</v>
      </c>
      <c r="G186" s="39">
        <f>G27+G13+G48+G62+G34+G69+G76+G112+G98+G134+G20</f>
        <v>274814.90146999998</v>
      </c>
      <c r="H186" s="39">
        <f t="shared" ref="H186:J189" si="48">H13+H48+H62+H34+H69+H76+H112+H98+H134+H20</f>
        <v>177119.45409000001</v>
      </c>
      <c r="I186" s="39">
        <f t="shared" si="48"/>
        <v>177579.03409</v>
      </c>
      <c r="J186" s="39">
        <f t="shared" si="48"/>
        <v>699729.43636000005</v>
      </c>
    </row>
    <row r="187" spans="1:10" ht="30" x14ac:dyDescent="0.25">
      <c r="A187" s="90"/>
      <c r="B187" s="90"/>
      <c r="C187" s="90"/>
      <c r="D187" s="80" t="s">
        <v>45</v>
      </c>
      <c r="E187" s="39">
        <f t="shared" si="45"/>
        <v>0</v>
      </c>
      <c r="F187" s="39">
        <f>F14+F49+F63+F35+F70+F77+F113+F99+F135+F21</f>
        <v>0</v>
      </c>
      <c r="G187" s="39">
        <f>G14+G49+G63+G35+G70+G77+G113+G99+G135+G21</f>
        <v>0</v>
      </c>
      <c r="H187" s="39">
        <f t="shared" si="48"/>
        <v>0</v>
      </c>
      <c r="I187" s="39">
        <f t="shared" si="48"/>
        <v>0</v>
      </c>
      <c r="J187" s="39">
        <f t="shared" si="48"/>
        <v>0</v>
      </c>
    </row>
    <row r="188" spans="1:10" x14ac:dyDescent="0.25">
      <c r="A188" s="90"/>
      <c r="B188" s="90"/>
      <c r="C188" s="90"/>
      <c r="D188" s="80" t="s">
        <v>44</v>
      </c>
      <c r="E188" s="39">
        <f t="shared" si="45"/>
        <v>0</v>
      </c>
      <c r="F188" s="39">
        <f>F15+F50+F64+F36+F71+F78+F114+F100+F136+F22</f>
        <v>0</v>
      </c>
      <c r="G188" s="39">
        <f>G15+G50+G64+G36+G71+G78+G114+G100+G136+G22</f>
        <v>0</v>
      </c>
      <c r="H188" s="39">
        <f t="shared" si="48"/>
        <v>0</v>
      </c>
      <c r="I188" s="39">
        <f t="shared" si="48"/>
        <v>0</v>
      </c>
      <c r="J188" s="39">
        <f t="shared" si="48"/>
        <v>0</v>
      </c>
    </row>
    <row r="189" spans="1:10" x14ac:dyDescent="0.25">
      <c r="A189" s="90"/>
      <c r="B189" s="90"/>
      <c r="C189" s="90"/>
      <c r="D189" s="80" t="s">
        <v>7</v>
      </c>
      <c r="E189" s="39">
        <f t="shared" si="45"/>
        <v>18686.738999999998</v>
      </c>
      <c r="F189" s="39">
        <f>F16+F51+F65+F37+F72+F79+F115+F101+F137+F23</f>
        <v>2332.1229999999996</v>
      </c>
      <c r="G189" s="39">
        <f>G16+G51+G65+G37+G72+G79+G115+G101+G137+G23</f>
        <v>16354.615999999998</v>
      </c>
      <c r="H189" s="39">
        <f t="shared" si="48"/>
        <v>0</v>
      </c>
      <c r="I189" s="39">
        <f t="shared" si="48"/>
        <v>0</v>
      </c>
      <c r="J189" s="39">
        <f t="shared" si="48"/>
        <v>0</v>
      </c>
    </row>
    <row r="190" spans="1:10" x14ac:dyDescent="0.25">
      <c r="A190" s="90" t="s">
        <v>72</v>
      </c>
      <c r="B190" s="90"/>
      <c r="C190" s="90"/>
      <c r="D190" s="21" t="s">
        <v>3</v>
      </c>
      <c r="E190" s="70">
        <f t="shared" si="45"/>
        <v>0</v>
      </c>
      <c r="F190" s="70">
        <f t="shared" ref="F190:J190" si="49">SUM(F191:F196)</f>
        <v>0</v>
      </c>
      <c r="G190" s="70">
        <f t="shared" si="49"/>
        <v>0</v>
      </c>
      <c r="H190" s="70">
        <f t="shared" ref="H190:I190" si="50">SUM(H191:H196)</f>
        <v>0</v>
      </c>
      <c r="I190" s="70">
        <f t="shared" si="50"/>
        <v>0</v>
      </c>
      <c r="J190" s="70">
        <f t="shared" si="49"/>
        <v>0</v>
      </c>
    </row>
    <row r="191" spans="1:10" x14ac:dyDescent="0.25">
      <c r="A191" s="90"/>
      <c r="B191" s="90"/>
      <c r="C191" s="90"/>
      <c r="D191" s="80" t="s">
        <v>4</v>
      </c>
      <c r="E191" s="39">
        <f t="shared" si="45"/>
        <v>0</v>
      </c>
      <c r="F191" s="39">
        <f t="shared" ref="F191:J196" si="51">F53+F117</f>
        <v>0</v>
      </c>
      <c r="G191" s="39">
        <f t="shared" si="51"/>
        <v>0</v>
      </c>
      <c r="H191" s="39">
        <f t="shared" si="51"/>
        <v>0</v>
      </c>
      <c r="I191" s="39">
        <f t="shared" si="51"/>
        <v>0</v>
      </c>
      <c r="J191" s="39">
        <f t="shared" si="51"/>
        <v>0</v>
      </c>
    </row>
    <row r="192" spans="1:10" x14ac:dyDescent="0.25">
      <c r="A192" s="90"/>
      <c r="B192" s="90"/>
      <c r="C192" s="90"/>
      <c r="D192" s="80" t="s">
        <v>5</v>
      </c>
      <c r="E192" s="39">
        <f t="shared" si="45"/>
        <v>0</v>
      </c>
      <c r="F192" s="39">
        <f t="shared" si="51"/>
        <v>0</v>
      </c>
      <c r="G192" s="39">
        <f t="shared" si="51"/>
        <v>0</v>
      </c>
      <c r="H192" s="39">
        <f t="shared" si="51"/>
        <v>0</v>
      </c>
      <c r="I192" s="39">
        <f t="shared" si="51"/>
        <v>0</v>
      </c>
      <c r="J192" s="39">
        <f t="shared" si="51"/>
        <v>0</v>
      </c>
    </row>
    <row r="193" spans="1:10" x14ac:dyDescent="0.25">
      <c r="A193" s="90"/>
      <c r="B193" s="90"/>
      <c r="C193" s="90"/>
      <c r="D193" s="80" t="s">
        <v>6</v>
      </c>
      <c r="E193" s="39">
        <f t="shared" si="45"/>
        <v>0</v>
      </c>
      <c r="F193" s="39">
        <f t="shared" si="51"/>
        <v>0</v>
      </c>
      <c r="G193" s="39">
        <f t="shared" si="51"/>
        <v>0</v>
      </c>
      <c r="H193" s="39">
        <f t="shared" si="51"/>
        <v>0</v>
      </c>
      <c r="I193" s="39">
        <f t="shared" si="51"/>
        <v>0</v>
      </c>
      <c r="J193" s="39">
        <f t="shared" si="51"/>
        <v>0</v>
      </c>
    </row>
    <row r="194" spans="1:10" ht="30" x14ac:dyDescent="0.25">
      <c r="A194" s="90"/>
      <c r="B194" s="90"/>
      <c r="C194" s="90"/>
      <c r="D194" s="80" t="s">
        <v>45</v>
      </c>
      <c r="E194" s="39">
        <f t="shared" si="45"/>
        <v>0</v>
      </c>
      <c r="F194" s="39">
        <f t="shared" si="51"/>
        <v>0</v>
      </c>
      <c r="G194" s="39">
        <f t="shared" si="51"/>
        <v>0</v>
      </c>
      <c r="H194" s="39">
        <f t="shared" si="51"/>
        <v>0</v>
      </c>
      <c r="I194" s="39">
        <f t="shared" si="51"/>
        <v>0</v>
      </c>
      <c r="J194" s="39">
        <f t="shared" si="51"/>
        <v>0</v>
      </c>
    </row>
    <row r="195" spans="1:10" x14ac:dyDescent="0.25">
      <c r="A195" s="90"/>
      <c r="B195" s="90"/>
      <c r="C195" s="90"/>
      <c r="D195" s="80" t="s">
        <v>44</v>
      </c>
      <c r="E195" s="39">
        <f t="shared" si="45"/>
        <v>0</v>
      </c>
      <c r="F195" s="39">
        <f t="shared" si="51"/>
        <v>0</v>
      </c>
      <c r="G195" s="39">
        <f t="shared" si="51"/>
        <v>0</v>
      </c>
      <c r="H195" s="39">
        <f t="shared" si="51"/>
        <v>0</v>
      </c>
      <c r="I195" s="39">
        <f t="shared" si="51"/>
        <v>0</v>
      </c>
      <c r="J195" s="39">
        <f t="shared" si="51"/>
        <v>0</v>
      </c>
    </row>
    <row r="196" spans="1:10" x14ac:dyDescent="0.25">
      <c r="A196" s="90"/>
      <c r="B196" s="90"/>
      <c r="C196" s="90"/>
      <c r="D196" s="80" t="s">
        <v>7</v>
      </c>
      <c r="E196" s="39">
        <f t="shared" si="45"/>
        <v>0</v>
      </c>
      <c r="F196" s="39">
        <f t="shared" si="51"/>
        <v>0</v>
      </c>
      <c r="G196" s="39">
        <f t="shared" si="51"/>
        <v>0</v>
      </c>
      <c r="H196" s="39">
        <f t="shared" si="51"/>
        <v>0</v>
      </c>
      <c r="I196" s="39">
        <f t="shared" si="51"/>
        <v>0</v>
      </c>
      <c r="J196" s="39">
        <f t="shared" si="51"/>
        <v>0</v>
      </c>
    </row>
    <row r="197" spans="1:10" x14ac:dyDescent="0.25">
      <c r="E197" s="53"/>
      <c r="F197" s="53"/>
      <c r="G197" s="53"/>
      <c r="H197" s="53"/>
      <c r="I197" s="53"/>
      <c r="J197" s="53"/>
    </row>
    <row r="198" spans="1:10" x14ac:dyDescent="0.25">
      <c r="E198" s="53"/>
      <c r="F198" s="53"/>
      <c r="G198" s="53"/>
      <c r="H198" s="53"/>
      <c r="I198" s="53"/>
      <c r="J198" s="53"/>
    </row>
    <row r="202" spans="1:10" x14ac:dyDescent="0.25">
      <c r="E202" s="53"/>
      <c r="F202" s="53"/>
      <c r="G202" s="53"/>
      <c r="H202" s="53"/>
      <c r="I202" s="53"/>
      <c r="J202" s="53"/>
    </row>
  </sheetData>
  <mergeCells count="64">
    <mergeCell ref="A1:J1"/>
    <mergeCell ref="A123:C129"/>
    <mergeCell ref="C131:C137"/>
    <mergeCell ref="C116:C122"/>
    <mergeCell ref="A17:A23"/>
    <mergeCell ref="B17:B23"/>
    <mergeCell ref="C17:C23"/>
    <mergeCell ref="B95:B101"/>
    <mergeCell ref="A73:A79"/>
    <mergeCell ref="B73:B79"/>
    <mergeCell ref="C73:C79"/>
    <mergeCell ref="B31:B37"/>
    <mergeCell ref="C31:C37"/>
    <mergeCell ref="A24:A30"/>
    <mergeCell ref="B24:B30"/>
    <mergeCell ref="C24:C30"/>
    <mergeCell ref="A66:A72"/>
    <mergeCell ref="B66:B72"/>
    <mergeCell ref="C66:C72"/>
    <mergeCell ref="C109:C115"/>
    <mergeCell ref="C102:C108"/>
    <mergeCell ref="C95:C101"/>
    <mergeCell ref="A88:A94"/>
    <mergeCell ref="B88:B94"/>
    <mergeCell ref="C88:C94"/>
    <mergeCell ref="A95:A101"/>
    <mergeCell ref="A87:J87"/>
    <mergeCell ref="A102:A122"/>
    <mergeCell ref="B102:B122"/>
    <mergeCell ref="E5:J5"/>
    <mergeCell ref="E6:J6"/>
    <mergeCell ref="C10:C16"/>
    <mergeCell ref="B10:B16"/>
    <mergeCell ref="A10:A16"/>
    <mergeCell ref="A3:J3"/>
    <mergeCell ref="A38:A58"/>
    <mergeCell ref="A59:A65"/>
    <mergeCell ref="B59:B65"/>
    <mergeCell ref="A80:C86"/>
    <mergeCell ref="A31:A37"/>
    <mergeCell ref="B38:B58"/>
    <mergeCell ref="C38:C44"/>
    <mergeCell ref="C45:C51"/>
    <mergeCell ref="C59:C65"/>
    <mergeCell ref="C52:C58"/>
    <mergeCell ref="A5:A7"/>
    <mergeCell ref="A9:J9"/>
    <mergeCell ref="B5:B7"/>
    <mergeCell ref="C5:C7"/>
    <mergeCell ref="D5:D7"/>
    <mergeCell ref="A183:C189"/>
    <mergeCell ref="A190:C196"/>
    <mergeCell ref="A131:A137"/>
    <mergeCell ref="A130:J130"/>
    <mergeCell ref="A167:C167"/>
    <mergeCell ref="A182:C182"/>
    <mergeCell ref="A152:C152"/>
    <mergeCell ref="A160:C166"/>
    <mergeCell ref="A138:C144"/>
    <mergeCell ref="A145:C151"/>
    <mergeCell ref="A168:C174"/>
    <mergeCell ref="A175:C181"/>
    <mergeCell ref="A153:C159"/>
    <mergeCell ref="B131:B137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workbookViewId="0">
      <pane ySplit="6" topLeftCell="A19" activePane="bottomLeft" state="frozen"/>
      <selection pane="bottomLeft" activeCell="C21" sqref="C21"/>
    </sheetView>
  </sheetViews>
  <sheetFormatPr defaultRowHeight="15" x14ac:dyDescent="0.25"/>
  <cols>
    <col min="1" max="1" width="17.7109375" style="16" customWidth="1"/>
    <col min="2" max="2" width="65.7109375" style="16" customWidth="1"/>
    <col min="3" max="3" width="40.7109375" style="16" customWidth="1"/>
    <col min="4" max="4" width="56.5703125" style="16" customWidth="1"/>
    <col min="5" max="5" width="32.5703125" style="16" customWidth="1"/>
    <col min="6" max="16384" width="9.140625" style="16"/>
  </cols>
  <sheetData>
    <row r="1" spans="1:5" x14ac:dyDescent="0.25">
      <c r="D1" s="43" t="s">
        <v>36</v>
      </c>
    </row>
    <row r="2" spans="1:5" x14ac:dyDescent="0.25">
      <c r="A2" s="77"/>
    </row>
    <row r="3" spans="1:5" ht="19.5" customHeight="1" x14ac:dyDescent="0.25">
      <c r="A3" s="107" t="s">
        <v>37</v>
      </c>
      <c r="B3" s="107"/>
      <c r="C3" s="107"/>
      <c r="D3" s="107"/>
    </row>
    <row r="4" spans="1:5" ht="15.75" x14ac:dyDescent="0.25">
      <c r="A4" s="44"/>
    </row>
    <row r="5" spans="1:5" ht="15.75" x14ac:dyDescent="0.25">
      <c r="A5" s="45"/>
    </row>
    <row r="6" spans="1:5" ht="79.5" customHeight="1" x14ac:dyDescent="0.25">
      <c r="A6" s="76" t="s">
        <v>38</v>
      </c>
      <c r="B6" s="76" t="s">
        <v>39</v>
      </c>
      <c r="C6" s="76" t="s">
        <v>40</v>
      </c>
      <c r="D6" s="76" t="s">
        <v>135</v>
      </c>
      <c r="E6" s="46"/>
    </row>
    <row r="7" spans="1:5" x14ac:dyDescent="0.25">
      <c r="A7" s="76">
        <v>1</v>
      </c>
      <c r="B7" s="76">
        <v>2</v>
      </c>
      <c r="C7" s="76">
        <v>3</v>
      </c>
      <c r="D7" s="76">
        <v>4</v>
      </c>
      <c r="E7" s="46"/>
    </row>
    <row r="8" spans="1:5" s="48" customFormat="1" ht="40.5" customHeight="1" x14ac:dyDescent="0.25">
      <c r="A8" s="94" t="s">
        <v>149</v>
      </c>
      <c r="B8" s="94"/>
      <c r="C8" s="94"/>
      <c r="D8" s="94"/>
      <c r="E8" s="47"/>
    </row>
    <row r="9" spans="1:5" s="48" customFormat="1" ht="15" customHeight="1" x14ac:dyDescent="0.25">
      <c r="A9" s="94" t="s">
        <v>150</v>
      </c>
      <c r="B9" s="94"/>
      <c r="C9" s="94"/>
      <c r="D9" s="94"/>
      <c r="E9" s="47"/>
    </row>
    <row r="10" spans="1:5" s="48" customFormat="1" ht="15" customHeight="1" x14ac:dyDescent="0.25">
      <c r="A10" s="94" t="s">
        <v>151</v>
      </c>
      <c r="B10" s="94"/>
      <c r="C10" s="94"/>
      <c r="D10" s="94"/>
      <c r="E10" s="47"/>
    </row>
    <row r="11" spans="1:5" ht="123" customHeight="1" x14ac:dyDescent="0.25">
      <c r="A11" s="76" t="s">
        <v>41</v>
      </c>
      <c r="B11" s="37" t="s">
        <v>136</v>
      </c>
      <c r="C11" s="56" t="s">
        <v>152</v>
      </c>
      <c r="D11" s="76"/>
      <c r="E11" s="46"/>
    </row>
    <row r="12" spans="1:5" ht="95.25" customHeight="1" x14ac:dyDescent="0.25">
      <c r="A12" s="76" t="s">
        <v>63</v>
      </c>
      <c r="B12" s="37" t="s">
        <v>178</v>
      </c>
      <c r="C12" s="57" t="s">
        <v>175</v>
      </c>
      <c r="D12" s="76"/>
      <c r="E12" s="46"/>
    </row>
    <row r="13" spans="1:5" ht="111.75" customHeight="1" x14ac:dyDescent="0.25">
      <c r="A13" s="76" t="s">
        <v>67</v>
      </c>
      <c r="B13" s="37" t="s">
        <v>126</v>
      </c>
      <c r="C13" s="57" t="s">
        <v>156</v>
      </c>
      <c r="D13" s="76"/>
      <c r="E13" s="46"/>
    </row>
    <row r="14" spans="1:5" ht="132.75" customHeight="1" x14ac:dyDescent="0.25">
      <c r="A14" s="76" t="s">
        <v>82</v>
      </c>
      <c r="B14" s="37" t="s">
        <v>129</v>
      </c>
      <c r="C14" s="57" t="s">
        <v>130</v>
      </c>
      <c r="D14" s="58" t="s">
        <v>131</v>
      </c>
      <c r="E14" s="46"/>
    </row>
    <row r="15" spans="1:5" ht="174" customHeight="1" x14ac:dyDescent="0.25">
      <c r="A15" s="76" t="s">
        <v>76</v>
      </c>
      <c r="B15" s="37" t="s">
        <v>144</v>
      </c>
      <c r="C15" s="57" t="s">
        <v>111</v>
      </c>
      <c r="D15" s="39">
        <v>0</v>
      </c>
      <c r="E15" s="46"/>
    </row>
    <row r="16" spans="1:5" ht="156" customHeight="1" x14ac:dyDescent="0.25">
      <c r="A16" s="76" t="s">
        <v>77</v>
      </c>
      <c r="B16" s="37" t="s">
        <v>139</v>
      </c>
      <c r="C16" s="57" t="s">
        <v>172</v>
      </c>
      <c r="D16" s="49" t="s">
        <v>118</v>
      </c>
      <c r="E16" s="46"/>
    </row>
    <row r="17" spans="1:5" ht="75" x14ac:dyDescent="0.25">
      <c r="A17" s="76" t="s">
        <v>91</v>
      </c>
      <c r="B17" s="37" t="s">
        <v>145</v>
      </c>
      <c r="C17" s="57" t="s">
        <v>74</v>
      </c>
      <c r="D17" s="50"/>
      <c r="E17" s="46"/>
    </row>
    <row r="18" spans="1:5" ht="75" x14ac:dyDescent="0.25">
      <c r="A18" s="76" t="s">
        <v>125</v>
      </c>
      <c r="B18" s="37" t="s">
        <v>132</v>
      </c>
      <c r="C18" s="57" t="s">
        <v>74</v>
      </c>
      <c r="D18" s="51"/>
      <c r="E18" s="46"/>
    </row>
    <row r="19" spans="1:5" s="48" customFormat="1" ht="32.25" customHeight="1" x14ac:dyDescent="0.25">
      <c r="A19" s="94" t="s">
        <v>153</v>
      </c>
      <c r="B19" s="94"/>
      <c r="C19" s="94"/>
      <c r="D19" s="94"/>
      <c r="E19" s="47"/>
    </row>
    <row r="20" spans="1:5" s="48" customFormat="1" ht="30" customHeight="1" x14ac:dyDescent="0.25">
      <c r="A20" s="94" t="s">
        <v>114</v>
      </c>
      <c r="B20" s="94"/>
      <c r="C20" s="94"/>
      <c r="D20" s="94"/>
      <c r="E20" s="47"/>
    </row>
    <row r="21" spans="1:5" s="48" customFormat="1" ht="84.75" customHeight="1" x14ac:dyDescent="0.25">
      <c r="A21" s="76" t="s">
        <v>78</v>
      </c>
      <c r="B21" s="75" t="s">
        <v>180</v>
      </c>
      <c r="C21" s="76" t="s">
        <v>181</v>
      </c>
      <c r="D21" s="76"/>
      <c r="E21" s="47"/>
    </row>
    <row r="22" spans="1:5" ht="122.25" customHeight="1" x14ac:dyDescent="0.25">
      <c r="A22" s="76" t="s">
        <v>79</v>
      </c>
      <c r="B22" s="37" t="s">
        <v>146</v>
      </c>
      <c r="C22" s="57" t="s">
        <v>173</v>
      </c>
      <c r="D22" s="75" t="s">
        <v>118</v>
      </c>
    </row>
    <row r="23" spans="1:5" ht="138" customHeight="1" x14ac:dyDescent="0.25">
      <c r="A23" s="76" t="s">
        <v>179</v>
      </c>
      <c r="B23" s="37" t="s">
        <v>147</v>
      </c>
      <c r="C23" s="57" t="s">
        <v>109</v>
      </c>
      <c r="D23" s="52"/>
    </row>
    <row r="24" spans="1:5" s="48" customFormat="1" ht="15" customHeight="1" x14ac:dyDescent="0.25">
      <c r="A24" s="94" t="s">
        <v>154</v>
      </c>
      <c r="B24" s="94"/>
      <c r="C24" s="94"/>
      <c r="D24" s="94"/>
    </row>
    <row r="25" spans="1:5" s="48" customFormat="1" ht="15" customHeight="1" x14ac:dyDescent="0.25">
      <c r="A25" s="94" t="s">
        <v>155</v>
      </c>
      <c r="B25" s="94"/>
      <c r="C25" s="94"/>
      <c r="D25" s="94"/>
    </row>
    <row r="26" spans="1:5" s="48" customFormat="1" ht="15" customHeight="1" x14ac:dyDescent="0.25">
      <c r="A26" s="94" t="s">
        <v>70</v>
      </c>
      <c r="B26" s="94"/>
      <c r="C26" s="94"/>
      <c r="D26" s="94"/>
    </row>
    <row r="27" spans="1:5" ht="189" customHeight="1" x14ac:dyDescent="0.25">
      <c r="A27" s="76" t="s">
        <v>62</v>
      </c>
      <c r="B27" s="37" t="s">
        <v>148</v>
      </c>
      <c r="C27" s="57" t="s">
        <v>110</v>
      </c>
      <c r="D27" s="39">
        <v>0</v>
      </c>
    </row>
    <row r="30" spans="1:5" x14ac:dyDescent="0.25">
      <c r="A30" s="106"/>
      <c r="B30" s="106"/>
      <c r="C30" s="106"/>
      <c r="D30" s="106"/>
    </row>
  </sheetData>
  <mergeCells count="10">
    <mergeCell ref="A30:D30"/>
    <mergeCell ref="A3:D3"/>
    <mergeCell ref="A8:D8"/>
    <mergeCell ref="A9:D9"/>
    <mergeCell ref="A24:D24"/>
    <mergeCell ref="A26:D26"/>
    <mergeCell ref="A20:D20"/>
    <mergeCell ref="A19:D19"/>
    <mergeCell ref="A10:D10"/>
    <mergeCell ref="A25:D25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N29"/>
  <sheetViews>
    <sheetView zoomScaleNormal="100" workbookViewId="0">
      <pane ySplit="10" topLeftCell="A11" activePane="bottomLeft" state="frozenSplit"/>
      <selection pane="bottomLeft" activeCell="D18" sqref="D18:D24"/>
    </sheetView>
  </sheetViews>
  <sheetFormatPr defaultRowHeight="15" x14ac:dyDescent="0.25"/>
  <cols>
    <col min="1" max="1" width="6.42578125" style="16" customWidth="1"/>
    <col min="2" max="2" width="24" style="16" customWidth="1"/>
    <col min="3" max="3" width="13" style="16" customWidth="1"/>
    <col min="4" max="4" width="16.7109375" style="16" customWidth="1"/>
    <col min="5" max="5" width="21.42578125" style="16" customWidth="1"/>
    <col min="6" max="6" width="13" style="16" customWidth="1"/>
    <col min="7" max="7" width="27.42578125" style="16" customWidth="1"/>
    <col min="8" max="8" width="17.7109375" style="16" customWidth="1"/>
    <col min="9" max="9" width="18.7109375" style="16" customWidth="1"/>
    <col min="10" max="10" width="17.28515625" style="16" customWidth="1"/>
    <col min="11" max="11" width="16.85546875" style="16" customWidth="1"/>
    <col min="12" max="14" width="9.140625" style="16"/>
    <col min="15" max="15" width="28.5703125" style="16" customWidth="1"/>
    <col min="16" max="16384" width="9.140625" style="16"/>
  </cols>
  <sheetData>
    <row r="1" spans="1:14" x14ac:dyDescent="0.25">
      <c r="L1" s="108" t="s">
        <v>29</v>
      </c>
      <c r="M1" s="108"/>
      <c r="N1" s="108"/>
    </row>
    <row r="2" spans="1:14" x14ac:dyDescent="0.25">
      <c r="A2" s="62"/>
    </row>
    <row r="3" spans="1:14" ht="28.5" customHeight="1" x14ac:dyDescent="0.25">
      <c r="A3" s="109" t="s">
        <v>159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</row>
    <row r="4" spans="1:14" ht="7.5" customHeight="1" x14ac:dyDescent="0.25">
      <c r="A4" s="64"/>
    </row>
    <row r="6" spans="1:14" ht="32.25" customHeight="1" x14ac:dyDescent="0.25">
      <c r="A6" s="111" t="s">
        <v>86</v>
      </c>
      <c r="B6" s="111" t="s">
        <v>30</v>
      </c>
      <c r="C6" s="111" t="s">
        <v>28</v>
      </c>
      <c r="D6" s="111" t="s">
        <v>31</v>
      </c>
      <c r="E6" s="111" t="s">
        <v>163</v>
      </c>
      <c r="F6" s="111" t="s">
        <v>161</v>
      </c>
      <c r="G6" s="111" t="s">
        <v>32</v>
      </c>
      <c r="H6" s="112" t="s">
        <v>162</v>
      </c>
      <c r="I6" s="113"/>
      <c r="J6" s="114"/>
      <c r="K6" s="111" t="s">
        <v>33</v>
      </c>
      <c r="L6" s="111" t="s">
        <v>34</v>
      </c>
      <c r="M6" s="111"/>
      <c r="N6" s="111"/>
    </row>
    <row r="7" spans="1:14" ht="15.75" customHeight="1" x14ac:dyDescent="0.25">
      <c r="A7" s="111"/>
      <c r="B7" s="111"/>
      <c r="C7" s="111"/>
      <c r="D7" s="111"/>
      <c r="E7" s="111"/>
      <c r="F7" s="111"/>
      <c r="G7" s="111"/>
      <c r="H7" s="115"/>
      <c r="I7" s="116"/>
      <c r="J7" s="117"/>
      <c r="K7" s="111"/>
      <c r="L7" s="111"/>
      <c r="M7" s="111"/>
      <c r="N7" s="111"/>
    </row>
    <row r="8" spans="1:14" x14ac:dyDescent="0.25">
      <c r="A8" s="111"/>
      <c r="B8" s="111"/>
      <c r="C8" s="111"/>
      <c r="D8" s="111"/>
      <c r="E8" s="111"/>
      <c r="F8" s="111"/>
      <c r="G8" s="111"/>
      <c r="H8" s="118"/>
      <c r="I8" s="119"/>
      <c r="J8" s="120"/>
      <c r="K8" s="111"/>
      <c r="L8" s="111"/>
      <c r="M8" s="111"/>
      <c r="N8" s="111"/>
    </row>
    <row r="9" spans="1:14" ht="44.25" customHeight="1" x14ac:dyDescent="0.25">
      <c r="A9" s="111"/>
      <c r="B9" s="111"/>
      <c r="C9" s="111"/>
      <c r="D9" s="111"/>
      <c r="E9" s="111"/>
      <c r="F9" s="111"/>
      <c r="G9" s="111"/>
      <c r="H9" s="17" t="s">
        <v>87</v>
      </c>
      <c r="I9" s="17" t="s">
        <v>160</v>
      </c>
      <c r="J9" s="17">
        <v>2026</v>
      </c>
      <c r="K9" s="111"/>
      <c r="L9" s="111"/>
      <c r="M9" s="111"/>
      <c r="N9" s="111"/>
    </row>
    <row r="10" spans="1:14" x14ac:dyDescent="0.25">
      <c r="A10" s="63">
        <v>1</v>
      </c>
      <c r="B10" s="63">
        <v>2</v>
      </c>
      <c r="C10" s="63">
        <v>3</v>
      </c>
      <c r="D10" s="63">
        <v>4</v>
      </c>
      <c r="E10" s="63">
        <v>5</v>
      </c>
      <c r="F10" s="63">
        <v>6</v>
      </c>
      <c r="G10" s="63">
        <v>7</v>
      </c>
      <c r="H10" s="63">
        <v>9</v>
      </c>
      <c r="I10" s="63">
        <v>10</v>
      </c>
      <c r="J10" s="63">
        <v>11</v>
      </c>
      <c r="K10" s="63">
        <v>12</v>
      </c>
      <c r="L10" s="122">
        <v>13</v>
      </c>
      <c r="M10" s="122"/>
      <c r="N10" s="122"/>
    </row>
    <row r="11" spans="1:14" x14ac:dyDescent="0.25">
      <c r="A11" s="123" t="s">
        <v>158</v>
      </c>
      <c r="B11" s="124"/>
      <c r="C11" s="124"/>
      <c r="D11" s="124"/>
      <c r="E11" s="124"/>
      <c r="F11" s="125"/>
      <c r="G11" s="21" t="s">
        <v>88</v>
      </c>
      <c r="H11" s="65">
        <f t="shared" ref="H11:H17" si="0">H18</f>
        <v>65</v>
      </c>
      <c r="I11" s="65">
        <f t="shared" ref="I11:J11" si="1">I18</f>
        <v>0</v>
      </c>
      <c r="J11" s="65">
        <f t="shared" si="1"/>
        <v>0</v>
      </c>
      <c r="K11" s="132"/>
      <c r="L11" s="135"/>
      <c r="M11" s="136"/>
      <c r="N11" s="137"/>
    </row>
    <row r="12" spans="1:14" x14ac:dyDescent="0.25">
      <c r="A12" s="126"/>
      <c r="B12" s="127"/>
      <c r="C12" s="127"/>
      <c r="D12" s="127"/>
      <c r="E12" s="127"/>
      <c r="F12" s="128"/>
      <c r="G12" s="21" t="s">
        <v>4</v>
      </c>
      <c r="H12" s="65">
        <f t="shared" si="0"/>
        <v>0</v>
      </c>
      <c r="I12" s="65">
        <f t="shared" ref="I12:J12" si="2">I19</f>
        <v>0</v>
      </c>
      <c r="J12" s="65">
        <f t="shared" si="2"/>
        <v>0</v>
      </c>
      <c r="K12" s="133"/>
      <c r="L12" s="138"/>
      <c r="M12" s="139"/>
      <c r="N12" s="140"/>
    </row>
    <row r="13" spans="1:14" ht="28.5" x14ac:dyDescent="0.25">
      <c r="A13" s="126"/>
      <c r="B13" s="127"/>
      <c r="C13" s="127"/>
      <c r="D13" s="127"/>
      <c r="E13" s="127"/>
      <c r="F13" s="128"/>
      <c r="G13" s="21" t="s">
        <v>5</v>
      </c>
      <c r="H13" s="65">
        <f t="shared" si="0"/>
        <v>0</v>
      </c>
      <c r="I13" s="65">
        <f t="shared" ref="I13:J13" si="3">I20</f>
        <v>0</v>
      </c>
      <c r="J13" s="65">
        <f t="shared" si="3"/>
        <v>0</v>
      </c>
      <c r="K13" s="133"/>
      <c r="L13" s="138"/>
      <c r="M13" s="139"/>
      <c r="N13" s="140"/>
    </row>
    <row r="14" spans="1:14" x14ac:dyDescent="0.25">
      <c r="A14" s="126"/>
      <c r="B14" s="127"/>
      <c r="C14" s="127"/>
      <c r="D14" s="127"/>
      <c r="E14" s="127"/>
      <c r="F14" s="128"/>
      <c r="G14" s="21" t="s">
        <v>6</v>
      </c>
      <c r="H14" s="65">
        <f t="shared" si="0"/>
        <v>65</v>
      </c>
      <c r="I14" s="65">
        <f t="shared" ref="I14:J14" si="4">I21</f>
        <v>0</v>
      </c>
      <c r="J14" s="65">
        <f t="shared" si="4"/>
        <v>0</v>
      </c>
      <c r="K14" s="133"/>
      <c r="L14" s="138"/>
      <c r="M14" s="139"/>
      <c r="N14" s="140"/>
    </row>
    <row r="15" spans="1:14" ht="30" customHeight="1" x14ac:dyDescent="0.25">
      <c r="A15" s="126"/>
      <c r="B15" s="127"/>
      <c r="C15" s="127"/>
      <c r="D15" s="127"/>
      <c r="E15" s="127"/>
      <c r="F15" s="128"/>
      <c r="G15" s="21" t="s">
        <v>89</v>
      </c>
      <c r="H15" s="65">
        <f t="shared" si="0"/>
        <v>0</v>
      </c>
      <c r="I15" s="65">
        <f t="shared" ref="I15:J15" si="5">I22</f>
        <v>0</v>
      </c>
      <c r="J15" s="65">
        <f t="shared" si="5"/>
        <v>0</v>
      </c>
      <c r="K15" s="133"/>
      <c r="L15" s="138"/>
      <c r="M15" s="139"/>
      <c r="N15" s="140"/>
    </row>
    <row r="16" spans="1:14" x14ac:dyDescent="0.25">
      <c r="A16" s="126"/>
      <c r="B16" s="127"/>
      <c r="C16" s="127"/>
      <c r="D16" s="127"/>
      <c r="E16" s="127"/>
      <c r="F16" s="128"/>
      <c r="G16" s="21" t="s">
        <v>90</v>
      </c>
      <c r="H16" s="65">
        <f t="shared" si="0"/>
        <v>0</v>
      </c>
      <c r="I16" s="65">
        <f t="shared" ref="I16:J16" si="6">I23</f>
        <v>0</v>
      </c>
      <c r="J16" s="65">
        <f t="shared" si="6"/>
        <v>0</v>
      </c>
      <c r="K16" s="133"/>
      <c r="L16" s="138"/>
      <c r="M16" s="139"/>
      <c r="N16" s="140"/>
    </row>
    <row r="17" spans="1:14" x14ac:dyDescent="0.25">
      <c r="A17" s="129"/>
      <c r="B17" s="130"/>
      <c r="C17" s="130"/>
      <c r="D17" s="130"/>
      <c r="E17" s="130"/>
      <c r="F17" s="131"/>
      <c r="G17" s="21" t="s">
        <v>7</v>
      </c>
      <c r="H17" s="65">
        <f t="shared" si="0"/>
        <v>0</v>
      </c>
      <c r="I17" s="65">
        <f t="shared" ref="I17:J17" si="7">I24</f>
        <v>0</v>
      </c>
      <c r="J17" s="65">
        <f t="shared" si="7"/>
        <v>0</v>
      </c>
      <c r="K17" s="134"/>
      <c r="L17" s="141"/>
      <c r="M17" s="142"/>
      <c r="N17" s="143"/>
    </row>
    <row r="18" spans="1:14" ht="16.5" customHeight="1" x14ac:dyDescent="0.25">
      <c r="A18" s="151">
        <v>1</v>
      </c>
      <c r="B18" s="151" t="s">
        <v>123</v>
      </c>
      <c r="C18" s="151" t="s">
        <v>127</v>
      </c>
      <c r="D18" s="151" t="s">
        <v>182</v>
      </c>
      <c r="E18" s="154">
        <v>295</v>
      </c>
      <c r="F18" s="144">
        <v>295</v>
      </c>
      <c r="G18" s="21" t="s">
        <v>88</v>
      </c>
      <c r="H18" s="22">
        <f>H19+H20+H21+H22+H23+H24</f>
        <v>65</v>
      </c>
      <c r="I18" s="22">
        <f t="shared" ref="I18:J18" si="8">I19+I20+I21+I22+I23+I24</f>
        <v>0</v>
      </c>
      <c r="J18" s="22">
        <f t="shared" si="8"/>
        <v>0</v>
      </c>
      <c r="K18" s="147" t="s">
        <v>92</v>
      </c>
      <c r="L18" s="150" t="s">
        <v>93</v>
      </c>
      <c r="M18" s="150"/>
      <c r="N18" s="150"/>
    </row>
    <row r="19" spans="1:14" ht="13.5" customHeight="1" x14ac:dyDescent="0.25">
      <c r="A19" s="152"/>
      <c r="B19" s="152"/>
      <c r="C19" s="152"/>
      <c r="D19" s="152"/>
      <c r="E19" s="155"/>
      <c r="F19" s="145"/>
      <c r="G19" s="38" t="s">
        <v>4</v>
      </c>
      <c r="H19" s="40">
        <v>0</v>
      </c>
      <c r="I19" s="40">
        <v>0</v>
      </c>
      <c r="J19" s="40">
        <v>0</v>
      </c>
      <c r="K19" s="148"/>
      <c r="L19" s="150"/>
      <c r="M19" s="150"/>
      <c r="N19" s="150"/>
    </row>
    <row r="20" spans="1:14" ht="13.5" customHeight="1" x14ac:dyDescent="0.25">
      <c r="A20" s="152"/>
      <c r="B20" s="152"/>
      <c r="C20" s="152"/>
      <c r="D20" s="152"/>
      <c r="E20" s="155"/>
      <c r="F20" s="145"/>
      <c r="G20" s="38" t="s">
        <v>5</v>
      </c>
      <c r="H20" s="40">
        <v>0</v>
      </c>
      <c r="I20" s="40">
        <v>0</v>
      </c>
      <c r="J20" s="40">
        <v>0</v>
      </c>
      <c r="K20" s="148"/>
      <c r="L20" s="150"/>
      <c r="M20" s="150"/>
      <c r="N20" s="150"/>
    </row>
    <row r="21" spans="1:14" ht="13.5" customHeight="1" x14ac:dyDescent="0.25">
      <c r="A21" s="152"/>
      <c r="B21" s="152"/>
      <c r="C21" s="152"/>
      <c r="D21" s="152"/>
      <c r="E21" s="155"/>
      <c r="F21" s="145"/>
      <c r="G21" s="38" t="s">
        <v>6</v>
      </c>
      <c r="H21" s="40">
        <f>295-230</f>
        <v>65</v>
      </c>
      <c r="I21" s="40">
        <v>0</v>
      </c>
      <c r="J21" s="40">
        <v>0</v>
      </c>
      <c r="K21" s="148"/>
      <c r="L21" s="150"/>
      <c r="M21" s="150"/>
      <c r="N21" s="150"/>
    </row>
    <row r="22" spans="1:14" ht="13.5" customHeight="1" x14ac:dyDescent="0.25">
      <c r="A22" s="152"/>
      <c r="B22" s="152"/>
      <c r="C22" s="152"/>
      <c r="D22" s="152"/>
      <c r="E22" s="155"/>
      <c r="F22" s="145"/>
      <c r="G22" s="38" t="s">
        <v>89</v>
      </c>
      <c r="H22" s="40">
        <v>0</v>
      </c>
      <c r="I22" s="40">
        <v>0</v>
      </c>
      <c r="J22" s="40">
        <v>0</v>
      </c>
      <c r="K22" s="148"/>
      <c r="L22" s="150"/>
      <c r="M22" s="150"/>
      <c r="N22" s="150"/>
    </row>
    <row r="23" spans="1:14" ht="13.5" customHeight="1" x14ac:dyDescent="0.25">
      <c r="A23" s="152"/>
      <c r="B23" s="152"/>
      <c r="C23" s="152"/>
      <c r="D23" s="152"/>
      <c r="E23" s="155"/>
      <c r="F23" s="145"/>
      <c r="G23" s="38" t="s">
        <v>90</v>
      </c>
      <c r="H23" s="40">
        <v>0</v>
      </c>
      <c r="I23" s="40">
        <v>0</v>
      </c>
      <c r="J23" s="40">
        <v>0</v>
      </c>
      <c r="K23" s="148"/>
      <c r="L23" s="150"/>
      <c r="M23" s="150"/>
      <c r="N23" s="150"/>
    </row>
    <row r="24" spans="1:14" ht="13.5" customHeight="1" x14ac:dyDescent="0.25">
      <c r="A24" s="153"/>
      <c r="B24" s="153"/>
      <c r="C24" s="153"/>
      <c r="D24" s="153"/>
      <c r="E24" s="156"/>
      <c r="F24" s="146"/>
      <c r="G24" s="38" t="s">
        <v>7</v>
      </c>
      <c r="H24" s="40">
        <v>0</v>
      </c>
      <c r="I24" s="40">
        <v>0</v>
      </c>
      <c r="J24" s="40">
        <v>0</v>
      </c>
      <c r="K24" s="149"/>
      <c r="L24" s="150"/>
      <c r="M24" s="150"/>
      <c r="N24" s="150"/>
    </row>
    <row r="25" spans="1:14" x14ac:dyDescent="0.25">
      <c r="A25" s="121"/>
      <c r="B25" s="121"/>
      <c r="C25" s="121"/>
      <c r="D25" s="121"/>
      <c r="E25" s="121"/>
      <c r="F25" s="121"/>
      <c r="G25" s="121"/>
      <c r="H25" s="121"/>
      <c r="I25" s="121"/>
      <c r="J25" s="121"/>
      <c r="K25" s="121"/>
      <c r="L25" s="121"/>
      <c r="M25" s="121"/>
      <c r="N25" s="121"/>
    </row>
    <row r="28" spans="1:14" ht="25.5" x14ac:dyDescent="0.35">
      <c r="D28" s="66"/>
      <c r="E28" s="66"/>
    </row>
    <row r="29" spans="1:14" ht="25.5" x14ac:dyDescent="0.35">
      <c r="D29" s="66"/>
      <c r="E29" s="66"/>
    </row>
  </sheetData>
  <mergeCells count="25">
    <mergeCell ref="A25:N25"/>
    <mergeCell ref="L10:N10"/>
    <mergeCell ref="F6:F9"/>
    <mergeCell ref="K6:K9"/>
    <mergeCell ref="A11:F17"/>
    <mergeCell ref="K11:K17"/>
    <mergeCell ref="L11:N17"/>
    <mergeCell ref="F18:F24"/>
    <mergeCell ref="K18:K24"/>
    <mergeCell ref="L18:N24"/>
    <mergeCell ref="A18:A24"/>
    <mergeCell ref="B18:B24"/>
    <mergeCell ref="C18:C24"/>
    <mergeCell ref="D18:D24"/>
    <mergeCell ref="E18:E24"/>
    <mergeCell ref="L1:N1"/>
    <mergeCell ref="A3:N3"/>
    <mergeCell ref="C6:C9"/>
    <mergeCell ref="D6:D9"/>
    <mergeCell ref="E6:E9"/>
    <mergeCell ref="G6:G9"/>
    <mergeCell ref="A6:A9"/>
    <mergeCell ref="B6:B9"/>
    <mergeCell ref="L6:N9"/>
    <mergeCell ref="H6:J8"/>
  </mergeCells>
  <pageMargins left="0.19685039370078741" right="0.19685039370078741" top="0.19685039370078741" bottom="0.19685039370078741" header="0" footer="0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zoomScaleNormal="100" workbookViewId="0">
      <selection activeCell="E8" sqref="E8"/>
    </sheetView>
  </sheetViews>
  <sheetFormatPr defaultColWidth="9.140625" defaultRowHeight="15" x14ac:dyDescent="0.25"/>
  <cols>
    <col min="1" max="1" width="6.7109375" style="42" customWidth="1"/>
    <col min="2" max="2" width="22.7109375" style="42" customWidth="1"/>
    <col min="3" max="3" width="12.85546875" style="42" customWidth="1"/>
    <col min="4" max="4" width="13.28515625" style="42" customWidth="1"/>
    <col min="5" max="5" width="16" style="42" customWidth="1"/>
    <col min="6" max="6" width="15.85546875" style="42" customWidth="1"/>
    <col min="7" max="7" width="45.5703125" style="42" customWidth="1"/>
    <col min="8" max="16384" width="9.140625" style="42"/>
  </cols>
  <sheetData>
    <row r="1" spans="1:7" x14ac:dyDescent="0.25">
      <c r="G1" s="67" t="s">
        <v>21</v>
      </c>
    </row>
    <row r="2" spans="1:7" x14ac:dyDescent="0.25">
      <c r="A2" s="68"/>
    </row>
    <row r="3" spans="1:7" x14ac:dyDescent="0.25">
      <c r="A3" s="109" t="s">
        <v>22</v>
      </c>
      <c r="B3" s="109"/>
      <c r="C3" s="109"/>
      <c r="D3" s="109"/>
      <c r="E3" s="109"/>
      <c r="F3" s="109"/>
      <c r="G3" s="109"/>
    </row>
    <row r="4" spans="1:7" x14ac:dyDescent="0.25">
      <c r="A4" s="68"/>
    </row>
    <row r="5" spans="1:7" ht="75" x14ac:dyDescent="0.25">
      <c r="A5" s="35" t="s">
        <v>0</v>
      </c>
      <c r="B5" s="35" t="s">
        <v>23</v>
      </c>
      <c r="C5" s="35" t="s">
        <v>28</v>
      </c>
      <c r="D5" s="35" t="s">
        <v>24</v>
      </c>
      <c r="E5" s="35" t="s">
        <v>25</v>
      </c>
      <c r="F5" s="35" t="s">
        <v>26</v>
      </c>
      <c r="G5" s="35" t="s">
        <v>27</v>
      </c>
    </row>
    <row r="6" spans="1:7" x14ac:dyDescent="0.25">
      <c r="A6" s="35">
        <v>1</v>
      </c>
      <c r="B6" s="35">
        <v>2</v>
      </c>
      <c r="C6" s="35">
        <v>3</v>
      </c>
      <c r="D6" s="35">
        <v>4</v>
      </c>
      <c r="E6" s="35">
        <v>5</v>
      </c>
      <c r="F6" s="35">
        <v>6</v>
      </c>
      <c r="G6" s="35">
        <v>7</v>
      </c>
    </row>
    <row r="7" spans="1:7" ht="73.5" customHeight="1" x14ac:dyDescent="0.25">
      <c r="A7" s="41" t="s">
        <v>94</v>
      </c>
      <c r="B7" s="37" t="s">
        <v>174</v>
      </c>
      <c r="C7" s="35">
        <v>115</v>
      </c>
      <c r="D7" s="35" t="s">
        <v>99</v>
      </c>
      <c r="E7" s="35" t="s">
        <v>105</v>
      </c>
      <c r="F7" s="35" t="s">
        <v>100</v>
      </c>
      <c r="G7" s="37" t="s">
        <v>98</v>
      </c>
    </row>
    <row r="8" spans="1:7" ht="73.5" customHeight="1" x14ac:dyDescent="0.25">
      <c r="A8" s="41" t="s">
        <v>95</v>
      </c>
      <c r="B8" s="37" t="s">
        <v>123</v>
      </c>
      <c r="C8" s="35">
        <v>100</v>
      </c>
      <c r="D8" s="35" t="s">
        <v>101</v>
      </c>
      <c r="E8" s="79" t="s">
        <v>182</v>
      </c>
      <c r="F8" s="35" t="s">
        <v>102</v>
      </c>
      <c r="G8" s="37" t="s">
        <v>98</v>
      </c>
    </row>
    <row r="9" spans="1:7" ht="73.5" customHeight="1" x14ac:dyDescent="0.25">
      <c r="A9" s="41" t="s">
        <v>96</v>
      </c>
      <c r="B9" s="37" t="s">
        <v>73</v>
      </c>
      <c r="C9" s="35">
        <v>80</v>
      </c>
      <c r="D9" s="35" t="s">
        <v>99</v>
      </c>
      <c r="E9" s="35" t="s">
        <v>104</v>
      </c>
      <c r="F9" s="35" t="s">
        <v>100</v>
      </c>
      <c r="G9" s="37" t="s">
        <v>98</v>
      </c>
    </row>
    <row r="10" spans="1:7" ht="73.5" customHeight="1" x14ac:dyDescent="0.25">
      <c r="A10" s="35">
        <v>4</v>
      </c>
      <c r="B10" s="37" t="s">
        <v>176</v>
      </c>
      <c r="C10" s="35">
        <v>80</v>
      </c>
      <c r="D10" s="35" t="s">
        <v>99</v>
      </c>
      <c r="E10" s="35" t="s">
        <v>104</v>
      </c>
      <c r="F10" s="35" t="s">
        <v>100</v>
      </c>
      <c r="G10" s="37" t="s">
        <v>98</v>
      </c>
    </row>
    <row r="11" spans="1:7" ht="73.5" customHeight="1" x14ac:dyDescent="0.25">
      <c r="A11" s="35">
        <v>5</v>
      </c>
      <c r="B11" s="37" t="s">
        <v>177</v>
      </c>
      <c r="C11" s="35">
        <v>80</v>
      </c>
      <c r="D11" s="35" t="s">
        <v>99</v>
      </c>
      <c r="E11" s="35" t="s">
        <v>104</v>
      </c>
      <c r="F11" s="35" t="s">
        <v>100</v>
      </c>
      <c r="G11" s="37" t="s">
        <v>98</v>
      </c>
    </row>
    <row r="13" spans="1:7" x14ac:dyDescent="0.25">
      <c r="B13" s="157"/>
      <c r="C13" s="157"/>
      <c r="D13" s="157"/>
      <c r="E13" s="157"/>
      <c r="F13" s="157"/>
      <c r="G13" s="157"/>
    </row>
  </sheetData>
  <mergeCells count="2">
    <mergeCell ref="A3:G3"/>
    <mergeCell ref="B13:G13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3"/>
  <sheetViews>
    <sheetView workbookViewId="0">
      <selection activeCell="D13" sqref="D13"/>
    </sheetView>
  </sheetViews>
  <sheetFormatPr defaultColWidth="9.140625" defaultRowHeight="15" x14ac:dyDescent="0.25"/>
  <cols>
    <col min="1" max="1" width="9.140625" style="2"/>
    <col min="2" max="2" width="32.42578125" style="6" customWidth="1"/>
    <col min="3" max="3" width="27.140625" style="6" customWidth="1"/>
    <col min="4" max="4" width="75.5703125" style="6" customWidth="1"/>
    <col min="5" max="16384" width="9.140625" style="6"/>
  </cols>
  <sheetData>
    <row r="1" spans="1:4" x14ac:dyDescent="0.25">
      <c r="D1" s="5" t="s">
        <v>16</v>
      </c>
    </row>
    <row r="2" spans="1:4" x14ac:dyDescent="0.25">
      <c r="A2" s="158"/>
      <c r="B2" s="158"/>
      <c r="C2" s="158"/>
      <c r="D2" s="158"/>
    </row>
    <row r="3" spans="1:4" x14ac:dyDescent="0.25">
      <c r="A3" s="159" t="s">
        <v>20</v>
      </c>
      <c r="B3" s="159"/>
      <c r="C3" s="159"/>
      <c r="D3" s="159"/>
    </row>
    <row r="4" spans="1:4" ht="42.75" customHeight="1" x14ac:dyDescent="0.25">
      <c r="A4" s="159" t="s">
        <v>75</v>
      </c>
      <c r="B4" s="158"/>
      <c r="C4" s="158"/>
      <c r="D4" s="158"/>
    </row>
    <row r="5" spans="1:4" x14ac:dyDescent="0.25">
      <c r="A5" s="4"/>
    </row>
    <row r="6" spans="1:4" ht="45" x14ac:dyDescent="0.25">
      <c r="A6" s="9" t="s">
        <v>0</v>
      </c>
      <c r="B6" s="9" t="s">
        <v>17</v>
      </c>
      <c r="C6" s="9" t="s">
        <v>19</v>
      </c>
      <c r="D6" s="9" t="s">
        <v>18</v>
      </c>
    </row>
    <row r="7" spans="1:4" x14ac:dyDescent="0.25">
      <c r="A7" s="10">
        <v>1</v>
      </c>
      <c r="B7" s="10">
        <v>2</v>
      </c>
      <c r="C7" s="10">
        <v>3</v>
      </c>
      <c r="D7" s="10">
        <v>4</v>
      </c>
    </row>
    <row r="8" spans="1:4" x14ac:dyDescent="0.25">
      <c r="A8" s="12">
        <v>0</v>
      </c>
      <c r="B8" s="12">
        <v>0</v>
      </c>
      <c r="C8" s="12">
        <v>0</v>
      </c>
      <c r="D8" s="12">
        <v>0</v>
      </c>
    </row>
    <row r="9" spans="1:4" x14ac:dyDescent="0.25">
      <c r="A9" s="12">
        <v>0</v>
      </c>
      <c r="B9" s="12">
        <v>0</v>
      </c>
      <c r="C9" s="12">
        <v>0</v>
      </c>
      <c r="D9" s="12">
        <v>0</v>
      </c>
    </row>
    <row r="10" spans="1:4" x14ac:dyDescent="0.25">
      <c r="A10" s="12">
        <v>0</v>
      </c>
      <c r="B10" s="12">
        <v>0</v>
      </c>
      <c r="C10" s="12">
        <v>0</v>
      </c>
      <c r="D10" s="12">
        <v>0</v>
      </c>
    </row>
    <row r="11" spans="1:4" x14ac:dyDescent="0.25">
      <c r="A11" s="12">
        <v>0</v>
      </c>
      <c r="B11" s="12">
        <v>0</v>
      </c>
      <c r="C11" s="12">
        <v>0</v>
      </c>
      <c r="D11" s="12">
        <v>0</v>
      </c>
    </row>
    <row r="13" spans="1:4" x14ac:dyDescent="0.25">
      <c r="B13" s="8"/>
      <c r="C13" s="8"/>
      <c r="D13" s="8"/>
    </row>
  </sheetData>
  <mergeCells count="3"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workbookViewId="0">
      <selection activeCell="F34" sqref="F34"/>
    </sheetView>
  </sheetViews>
  <sheetFormatPr defaultColWidth="9.140625" defaultRowHeight="15" x14ac:dyDescent="0.25"/>
  <cols>
    <col min="1" max="1" width="7.28515625" style="6" customWidth="1"/>
    <col min="2" max="2" width="18" style="6" customWidth="1"/>
    <col min="3" max="3" width="16.5703125" style="6" customWidth="1"/>
    <col min="4" max="4" width="12.85546875" style="6" customWidth="1"/>
    <col min="5" max="5" width="18.42578125" style="6" customWidth="1"/>
    <col min="6" max="9" width="9.140625" style="6"/>
    <col min="10" max="10" width="15.42578125" style="6" customWidth="1"/>
    <col min="11" max="16384" width="9.140625" style="6"/>
  </cols>
  <sheetData>
    <row r="1" spans="1:10" x14ac:dyDescent="0.25">
      <c r="J1" s="5" t="s">
        <v>52</v>
      </c>
    </row>
    <row r="2" spans="1:10" x14ac:dyDescent="0.25">
      <c r="A2" s="3"/>
    </row>
    <row r="3" spans="1:10" ht="36" customHeight="1" x14ac:dyDescent="0.25">
      <c r="A3" s="159" t="s">
        <v>115</v>
      </c>
      <c r="B3" s="159"/>
      <c r="C3" s="159"/>
      <c r="D3" s="159"/>
      <c r="E3" s="159"/>
      <c r="F3" s="159"/>
      <c r="G3" s="159"/>
      <c r="H3" s="159"/>
      <c r="I3" s="159"/>
      <c r="J3" s="159"/>
    </row>
    <row r="4" spans="1:10" x14ac:dyDescent="0.25">
      <c r="A4" s="3"/>
    </row>
    <row r="5" spans="1:10" x14ac:dyDescent="0.25">
      <c r="A5" s="1"/>
    </row>
    <row r="6" spans="1:10" ht="90" customHeight="1" x14ac:dyDescent="0.25">
      <c r="A6" s="161" t="s">
        <v>53</v>
      </c>
      <c r="B6" s="161" t="s">
        <v>54</v>
      </c>
      <c r="C6" s="161" t="s">
        <v>55</v>
      </c>
      <c r="D6" s="161" t="s">
        <v>56</v>
      </c>
      <c r="E6" s="161" t="s">
        <v>116</v>
      </c>
      <c r="F6" s="161" t="s">
        <v>57</v>
      </c>
      <c r="G6" s="161"/>
      <c r="H6" s="161"/>
      <c r="I6" s="161"/>
      <c r="J6" s="161"/>
    </row>
    <row r="7" spans="1:10" ht="21.75" customHeight="1" x14ac:dyDescent="0.25">
      <c r="A7" s="161"/>
      <c r="B7" s="161"/>
      <c r="C7" s="161"/>
      <c r="D7" s="161"/>
      <c r="E7" s="161"/>
      <c r="F7" s="11" t="s">
        <v>60</v>
      </c>
      <c r="G7" s="11" t="s">
        <v>61</v>
      </c>
      <c r="H7" s="11" t="s">
        <v>106</v>
      </c>
      <c r="I7" s="11" t="s">
        <v>107</v>
      </c>
      <c r="J7" s="13" t="s">
        <v>108</v>
      </c>
    </row>
    <row r="8" spans="1:10" x14ac:dyDescent="0.25">
      <c r="A8" s="11">
        <v>1</v>
      </c>
      <c r="B8" s="11" t="s">
        <v>13</v>
      </c>
      <c r="C8" s="11" t="s">
        <v>13</v>
      </c>
      <c r="D8" s="11"/>
      <c r="E8" s="160" t="s">
        <v>58</v>
      </c>
      <c r="F8" s="160"/>
      <c r="G8" s="160"/>
      <c r="H8" s="160"/>
      <c r="I8" s="11"/>
      <c r="J8" s="13"/>
    </row>
    <row r="9" spans="1:10" x14ac:dyDescent="0.25">
      <c r="A9" s="14">
        <v>0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</row>
    <row r="10" spans="1:10" x14ac:dyDescent="0.25">
      <c r="A10" s="11" t="s">
        <v>13</v>
      </c>
      <c r="B10" s="15"/>
      <c r="C10" s="15"/>
      <c r="D10" s="11" t="s">
        <v>13</v>
      </c>
      <c r="E10" s="160" t="s">
        <v>59</v>
      </c>
      <c r="F10" s="160"/>
      <c r="G10" s="160"/>
      <c r="H10" s="160"/>
      <c r="I10" s="11"/>
      <c r="J10" s="11"/>
    </row>
    <row r="11" spans="1:10" x14ac:dyDescent="0.25">
      <c r="A11" s="14">
        <v>0</v>
      </c>
      <c r="B11" s="14">
        <v>0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</row>
  </sheetData>
  <mergeCells count="9">
    <mergeCell ref="E8:H8"/>
    <mergeCell ref="E10:H10"/>
    <mergeCell ref="A3:J3"/>
    <mergeCell ref="A6:A7"/>
    <mergeCell ref="B6:B7"/>
    <mergeCell ref="C6:C7"/>
    <mergeCell ref="D6:D7"/>
    <mergeCell ref="E6:E7"/>
    <mergeCell ref="F6:J6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"/>
  <sheetViews>
    <sheetView workbookViewId="0">
      <pane ySplit="7" topLeftCell="A8" activePane="bottomLeft" state="frozen"/>
      <selection pane="bottomLeft" activeCell="B17" sqref="B17"/>
    </sheetView>
  </sheetViews>
  <sheetFormatPr defaultRowHeight="15" x14ac:dyDescent="0.25"/>
  <cols>
    <col min="1" max="1" width="9.140625" style="7"/>
    <col min="2" max="2" width="34.42578125" style="7" customWidth="1"/>
    <col min="3" max="3" width="18.140625" style="7" customWidth="1"/>
    <col min="4" max="4" width="10.140625" style="7" hidden="1" customWidth="1"/>
    <col min="5" max="5" width="11.85546875" style="7" hidden="1" customWidth="1"/>
    <col min="6" max="9" width="9.5703125" style="7" customWidth="1"/>
    <col min="10" max="10" width="19.42578125" style="7" customWidth="1"/>
    <col min="11" max="11" width="45.140625" style="7" customWidth="1"/>
    <col min="12" max="16384" width="9.140625" style="7"/>
  </cols>
  <sheetData>
    <row r="1" spans="1:14" x14ac:dyDescent="0.25">
      <c r="J1" s="18" t="s">
        <v>8</v>
      </c>
    </row>
    <row r="2" spans="1:14" x14ac:dyDescent="0.25">
      <c r="A2" s="23"/>
    </row>
    <row r="3" spans="1:14" x14ac:dyDescent="0.25">
      <c r="A3" s="165" t="s">
        <v>9</v>
      </c>
      <c r="B3" s="165"/>
      <c r="C3" s="165"/>
      <c r="D3" s="165"/>
      <c r="E3" s="165"/>
      <c r="F3" s="165"/>
      <c r="G3" s="165"/>
      <c r="H3" s="165"/>
      <c r="I3" s="165"/>
      <c r="J3" s="165"/>
    </row>
    <row r="4" spans="1:14" x14ac:dyDescent="0.25">
      <c r="A4" s="20"/>
    </row>
    <row r="5" spans="1:14" x14ac:dyDescent="0.25">
      <c r="A5" s="20"/>
    </row>
    <row r="6" spans="1:14" x14ac:dyDescent="0.25">
      <c r="A6" s="166" t="s">
        <v>10</v>
      </c>
      <c r="B6" s="166" t="s">
        <v>85</v>
      </c>
      <c r="C6" s="166" t="s">
        <v>11</v>
      </c>
      <c r="D6" s="19"/>
      <c r="E6" s="19"/>
      <c r="F6" s="19"/>
      <c r="G6" s="166"/>
      <c r="H6" s="166"/>
      <c r="I6" s="19"/>
      <c r="J6" s="166" t="s">
        <v>12</v>
      </c>
    </row>
    <row r="7" spans="1:14" ht="81.75" customHeight="1" x14ac:dyDescent="0.25">
      <c r="A7" s="166"/>
      <c r="B7" s="166"/>
      <c r="C7" s="166"/>
      <c r="D7" s="19" t="s">
        <v>65</v>
      </c>
      <c r="E7" s="19" t="s">
        <v>66</v>
      </c>
      <c r="F7" s="19" t="s">
        <v>14</v>
      </c>
      <c r="G7" s="19" t="s">
        <v>15</v>
      </c>
      <c r="H7" s="19" t="s">
        <v>112</v>
      </c>
      <c r="I7" s="19" t="s">
        <v>113</v>
      </c>
      <c r="J7" s="166"/>
    </row>
    <row r="8" spans="1:14" x14ac:dyDescent="0.25">
      <c r="A8" s="19">
        <v>1</v>
      </c>
      <c r="B8" s="19">
        <v>2</v>
      </c>
      <c r="C8" s="19">
        <v>3</v>
      </c>
      <c r="D8" s="19"/>
      <c r="E8" s="19"/>
      <c r="F8" s="19">
        <v>4</v>
      </c>
      <c r="G8" s="19">
        <v>5</v>
      </c>
      <c r="H8" s="19">
        <v>6</v>
      </c>
      <c r="I8" s="19">
        <v>7</v>
      </c>
      <c r="J8" s="19">
        <v>9</v>
      </c>
    </row>
    <row r="9" spans="1:14" ht="94.5" x14ac:dyDescent="0.25">
      <c r="A9" s="24">
        <v>1</v>
      </c>
      <c r="B9" s="24" t="s">
        <v>164</v>
      </c>
      <c r="C9" s="25">
        <v>78.599999999999994</v>
      </c>
      <c r="D9" s="25">
        <v>75.900000000000006</v>
      </c>
      <c r="E9" s="25">
        <v>76.5</v>
      </c>
      <c r="F9" s="25">
        <v>79.599999999999994</v>
      </c>
      <c r="G9" s="25">
        <v>80.599999999999994</v>
      </c>
      <c r="H9" s="25">
        <v>80.599999999999994</v>
      </c>
      <c r="I9" s="25">
        <v>80.599999999999994</v>
      </c>
      <c r="J9" s="24">
        <v>80.599999999999994</v>
      </c>
      <c r="K9" s="26"/>
      <c r="L9" s="26"/>
      <c r="M9" s="26"/>
    </row>
    <row r="10" spans="1:14" ht="126" x14ac:dyDescent="0.25">
      <c r="A10" s="24">
        <v>2</v>
      </c>
      <c r="B10" s="24" t="s">
        <v>165</v>
      </c>
      <c r="C10" s="25">
        <v>22</v>
      </c>
      <c r="D10" s="25">
        <v>16</v>
      </c>
      <c r="E10" s="25">
        <v>18</v>
      </c>
      <c r="F10" s="25">
        <v>24</v>
      </c>
      <c r="G10" s="25">
        <v>26</v>
      </c>
      <c r="H10" s="25">
        <v>26</v>
      </c>
      <c r="I10" s="25">
        <v>26</v>
      </c>
      <c r="J10" s="24">
        <v>26</v>
      </c>
      <c r="K10" s="26"/>
      <c r="L10" s="26"/>
      <c r="M10" s="26"/>
      <c r="N10" s="27"/>
    </row>
    <row r="11" spans="1:14" ht="126" x14ac:dyDescent="0.25">
      <c r="A11" s="24">
        <v>3</v>
      </c>
      <c r="B11" s="24" t="s">
        <v>166</v>
      </c>
      <c r="C11" s="28">
        <v>14</v>
      </c>
      <c r="D11" s="28">
        <v>11.2</v>
      </c>
      <c r="E11" s="28">
        <v>12</v>
      </c>
      <c r="F11" s="28">
        <v>15</v>
      </c>
      <c r="G11" s="28">
        <v>16</v>
      </c>
      <c r="H11" s="28">
        <v>16</v>
      </c>
      <c r="I11" s="28">
        <v>16</v>
      </c>
      <c r="J11" s="29">
        <v>16</v>
      </c>
      <c r="K11" s="30"/>
      <c r="L11" s="30"/>
      <c r="M11" s="30"/>
    </row>
    <row r="12" spans="1:14" ht="15" customHeight="1" x14ac:dyDescent="0.25">
      <c r="A12" s="162">
        <v>4</v>
      </c>
      <c r="B12" s="162" t="s">
        <v>167</v>
      </c>
      <c r="C12" s="162">
        <v>20</v>
      </c>
      <c r="D12" s="162">
        <v>15.3</v>
      </c>
      <c r="E12" s="162">
        <v>19.600000000000001</v>
      </c>
      <c r="F12" s="162">
        <v>20.2</v>
      </c>
      <c r="G12" s="163">
        <v>20.399999999999999</v>
      </c>
      <c r="H12" s="162">
        <v>20.6</v>
      </c>
      <c r="I12" s="162">
        <v>20.6</v>
      </c>
      <c r="J12" s="162">
        <v>20.6</v>
      </c>
      <c r="K12" s="26"/>
      <c r="L12" s="26"/>
      <c r="M12" s="26"/>
    </row>
    <row r="13" spans="1:14" ht="151.5" customHeight="1" x14ac:dyDescent="0.25">
      <c r="A13" s="162"/>
      <c r="B13" s="162"/>
      <c r="C13" s="162"/>
      <c r="D13" s="162"/>
      <c r="E13" s="162"/>
      <c r="F13" s="162"/>
      <c r="G13" s="163"/>
      <c r="H13" s="162"/>
      <c r="I13" s="162"/>
      <c r="J13" s="162"/>
      <c r="K13" s="26"/>
      <c r="L13" s="26"/>
      <c r="M13" s="26"/>
    </row>
    <row r="14" spans="1:14" ht="15" customHeight="1" x14ac:dyDescent="0.25">
      <c r="A14" s="164" t="s">
        <v>97</v>
      </c>
      <c r="B14" s="162" t="s">
        <v>171</v>
      </c>
      <c r="C14" s="163">
        <v>41</v>
      </c>
      <c r="D14" s="163">
        <v>35</v>
      </c>
      <c r="E14" s="163">
        <v>40</v>
      </c>
      <c r="F14" s="163">
        <v>41.5</v>
      </c>
      <c r="G14" s="163">
        <v>42</v>
      </c>
      <c r="H14" s="163">
        <v>42.5</v>
      </c>
      <c r="I14" s="163">
        <v>42.5</v>
      </c>
      <c r="J14" s="163">
        <v>42.5</v>
      </c>
      <c r="K14" s="31"/>
      <c r="L14" s="31"/>
      <c r="M14" s="31"/>
    </row>
    <row r="15" spans="1:14" ht="165" customHeight="1" x14ac:dyDescent="0.25">
      <c r="A15" s="164"/>
      <c r="B15" s="162"/>
      <c r="C15" s="163"/>
      <c r="D15" s="163"/>
      <c r="E15" s="163"/>
      <c r="F15" s="163"/>
      <c r="G15" s="163"/>
      <c r="H15" s="163"/>
      <c r="I15" s="163"/>
      <c r="J15" s="163"/>
      <c r="K15" s="31"/>
      <c r="L15" s="31"/>
      <c r="M15" s="31"/>
    </row>
    <row r="16" spans="1:14" ht="32.25" customHeight="1" x14ac:dyDescent="0.25">
      <c r="A16" s="32" t="s">
        <v>103</v>
      </c>
      <c r="B16" s="24" t="s">
        <v>168</v>
      </c>
      <c r="C16" s="29">
        <v>71</v>
      </c>
      <c r="D16" s="29">
        <v>60</v>
      </c>
      <c r="E16" s="29">
        <v>70</v>
      </c>
      <c r="F16" s="29">
        <v>71.5</v>
      </c>
      <c r="G16" s="29">
        <v>72</v>
      </c>
      <c r="H16" s="29">
        <v>72.5</v>
      </c>
      <c r="I16" s="29">
        <v>72.5</v>
      </c>
      <c r="J16" s="29">
        <v>72.5</v>
      </c>
      <c r="K16" s="31"/>
      <c r="L16" s="31"/>
      <c r="M16" s="31"/>
    </row>
    <row r="17" spans="1:13" ht="116.25" customHeight="1" x14ac:dyDescent="0.25">
      <c r="A17" s="36">
        <v>6</v>
      </c>
      <c r="B17" s="36" t="s">
        <v>157</v>
      </c>
      <c r="C17" s="61" t="s">
        <v>169</v>
      </c>
      <c r="D17" s="61">
        <v>12</v>
      </c>
      <c r="E17" s="61">
        <v>15</v>
      </c>
      <c r="F17" s="61" t="s">
        <v>169</v>
      </c>
      <c r="G17" s="61" t="s">
        <v>169</v>
      </c>
      <c r="H17" s="61" t="s">
        <v>169</v>
      </c>
      <c r="I17" s="61" t="s">
        <v>169</v>
      </c>
      <c r="J17" s="61" t="s">
        <v>169</v>
      </c>
      <c r="K17" s="33"/>
      <c r="L17" s="33"/>
      <c r="M17" s="33"/>
    </row>
    <row r="18" spans="1:13" ht="17.25" customHeight="1" x14ac:dyDescent="0.25"/>
    <row r="21" spans="1:13" ht="16.5" x14ac:dyDescent="0.25">
      <c r="J21" s="34" t="s">
        <v>124</v>
      </c>
    </row>
  </sheetData>
  <mergeCells count="26">
    <mergeCell ref="A3:J3"/>
    <mergeCell ref="J6:J7"/>
    <mergeCell ref="A6:A7"/>
    <mergeCell ref="B6:B7"/>
    <mergeCell ref="C6:C7"/>
    <mergeCell ref="G6:H6"/>
    <mergeCell ref="A12:A13"/>
    <mergeCell ref="B12:B13"/>
    <mergeCell ref="C12:C13"/>
    <mergeCell ref="D12:D13"/>
    <mergeCell ref="E12:E13"/>
    <mergeCell ref="A14:A15"/>
    <mergeCell ref="B14:B15"/>
    <mergeCell ref="C14:C15"/>
    <mergeCell ref="D14:D15"/>
    <mergeCell ref="E14:E15"/>
    <mergeCell ref="J12:J13"/>
    <mergeCell ref="J14:J15"/>
    <mergeCell ref="F14:F15"/>
    <mergeCell ref="G14:G15"/>
    <mergeCell ref="H14:H15"/>
    <mergeCell ref="I14:I15"/>
    <mergeCell ref="F12:F13"/>
    <mergeCell ref="G12:G13"/>
    <mergeCell ref="H12:H13"/>
    <mergeCell ref="I12:I13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2'!_Hlk69889099</vt:lpstr>
      <vt:lpstr>'таблица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obmen</dc:creator>
  <cp:lastModifiedBy>komkultur@mail.ru</cp:lastModifiedBy>
  <cp:lastPrinted>2024-12-16T11:22:28Z</cp:lastPrinted>
  <dcterms:created xsi:type="dcterms:W3CDTF">2021-11-09T04:45:45Z</dcterms:created>
  <dcterms:modified xsi:type="dcterms:W3CDTF">2024-12-19T10:51:40Z</dcterms:modified>
</cp:coreProperties>
</file>