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387\"/>
    </mc:Choice>
  </mc:AlternateContent>
  <xr:revisionPtr revIDLastSave="0" documentId="8_{DF62EC64-814C-499F-9288-DE956DD5291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Мероприятия" sheetId="1" r:id="rId1"/>
  </sheets>
  <definedNames>
    <definedName name="_xlnm._FilterDatabase" localSheetId="0" hidden="1">Мероприятия!$A$4:$I$215</definedName>
    <definedName name="_xlnm.Print_Titles" localSheetId="0">Мероприятия!$4:$6</definedName>
    <definedName name="_xlnm.Print_Area" localSheetId="0">Мероприятия!$A$1:$L$292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8" i="1" l="1"/>
  <c r="E59" i="1"/>
  <c r="E60" i="1"/>
  <c r="E61" i="1"/>
  <c r="E62" i="1"/>
  <c r="E77" i="1"/>
  <c r="E43" i="1"/>
  <c r="F43" i="1"/>
  <c r="G43" i="1"/>
  <c r="H43" i="1"/>
  <c r="I43" i="1"/>
  <c r="J43" i="1"/>
  <c r="K43" i="1"/>
  <c r="L43" i="1"/>
  <c r="F211" i="1" l="1"/>
  <c r="F215" i="1" l="1"/>
  <c r="U186" i="1"/>
  <c r="U187" i="1"/>
  <c r="U188" i="1"/>
  <c r="U189" i="1"/>
  <c r="U190" i="1"/>
  <c r="U191" i="1"/>
  <c r="U192" i="1"/>
  <c r="K212" i="1"/>
  <c r="F213" i="1"/>
  <c r="G213" i="1"/>
  <c r="H213" i="1"/>
  <c r="I213" i="1"/>
  <c r="J213" i="1"/>
  <c r="K213" i="1"/>
  <c r="L213" i="1"/>
  <c r="F214" i="1"/>
  <c r="G214" i="1"/>
  <c r="H214" i="1"/>
  <c r="I214" i="1"/>
  <c r="J214" i="1"/>
  <c r="K214" i="1"/>
  <c r="L214" i="1"/>
  <c r="H215" i="1"/>
  <c r="I215" i="1"/>
  <c r="J215" i="1"/>
  <c r="K215" i="1"/>
  <c r="G210" i="1"/>
  <c r="H210" i="1"/>
  <c r="I210" i="1"/>
  <c r="J210" i="1"/>
  <c r="K210" i="1"/>
  <c r="L210" i="1"/>
  <c r="F210" i="1"/>
  <c r="L83" i="1" l="1"/>
  <c r="L82" i="1"/>
  <c r="L80" i="1"/>
  <c r="L79" i="1"/>
  <c r="K83" i="1"/>
  <c r="K82" i="1"/>
  <c r="K81" i="1"/>
  <c r="K80" i="1"/>
  <c r="K79" i="1"/>
  <c r="I83" i="1"/>
  <c r="I82" i="1"/>
  <c r="I79" i="1"/>
  <c r="I80" i="1"/>
  <c r="J83" i="1"/>
  <c r="J82" i="1"/>
  <c r="J80" i="1"/>
  <c r="J79" i="1"/>
  <c r="H83" i="1"/>
  <c r="H82" i="1"/>
  <c r="H80" i="1"/>
  <c r="H79" i="1"/>
  <c r="G83" i="1"/>
  <c r="F83" i="1"/>
  <c r="G79" i="1"/>
  <c r="F79" i="1"/>
  <c r="H32" i="1" l="1"/>
  <c r="H159" i="1" l="1"/>
  <c r="K218" i="1" l="1"/>
  <c r="G171" i="1" l="1"/>
  <c r="G168" i="1"/>
  <c r="G70" i="1"/>
  <c r="G19" i="1"/>
  <c r="G82" i="1" s="1"/>
  <c r="G86" i="1" l="1"/>
  <c r="H86" i="1"/>
  <c r="I86" i="1"/>
  <c r="J86" i="1"/>
  <c r="K86" i="1"/>
  <c r="E87" i="1"/>
  <c r="E88" i="1"/>
  <c r="F89" i="1"/>
  <c r="L89" i="1"/>
  <c r="L86" i="1" s="1"/>
  <c r="E90" i="1"/>
  <c r="E83" i="1" l="1"/>
  <c r="E89" i="1"/>
  <c r="F86" i="1"/>
  <c r="E79" i="1" l="1"/>
  <c r="G74" i="1" l="1"/>
  <c r="E74" i="1" s="1"/>
  <c r="G149" i="1" l="1"/>
  <c r="G146" i="1"/>
  <c r="G67" i="1"/>
  <c r="E67" i="1" s="1"/>
  <c r="G53" i="1"/>
  <c r="G18" i="1"/>
  <c r="H270" i="1" l="1"/>
  <c r="H163" i="1" l="1"/>
  <c r="H14" i="1" l="1"/>
  <c r="H84" i="1" s="1"/>
  <c r="H277" i="1" l="1"/>
  <c r="H170" i="1"/>
  <c r="H256" i="1" l="1"/>
  <c r="H242" i="1"/>
  <c r="H233" i="1" l="1"/>
  <c r="H160" i="1" l="1"/>
  <c r="G239" i="1"/>
  <c r="J219" i="1" l="1"/>
  <c r="H222" i="1"/>
  <c r="H229" i="1"/>
  <c r="H184" i="1"/>
  <c r="H191" i="1" s="1"/>
  <c r="I218" i="1"/>
  <c r="J218" i="1"/>
  <c r="H218" i="1"/>
  <c r="G174" i="1" l="1"/>
  <c r="G102" i="1"/>
  <c r="G99" i="1"/>
  <c r="G96" i="1"/>
  <c r="G32" i="1" l="1"/>
  <c r="G25" i="1"/>
  <c r="G212" i="1" s="1"/>
  <c r="G17" i="1"/>
  <c r="G80" i="1" s="1"/>
  <c r="G11" i="1"/>
  <c r="G81" i="1" l="1"/>
  <c r="F53" i="1"/>
  <c r="F50" i="1" s="1"/>
  <c r="E73" i="1"/>
  <c r="E75" i="1"/>
  <c r="E76" i="1"/>
  <c r="E72" i="1"/>
  <c r="G71" i="1"/>
  <c r="H71" i="1"/>
  <c r="I71" i="1"/>
  <c r="J71" i="1"/>
  <c r="K71" i="1"/>
  <c r="L71" i="1"/>
  <c r="F71" i="1"/>
  <c r="E52" i="1"/>
  <c r="E54" i="1"/>
  <c r="E55" i="1"/>
  <c r="E56" i="1"/>
  <c r="E51" i="1"/>
  <c r="G50" i="1"/>
  <c r="H50" i="1"/>
  <c r="I50" i="1"/>
  <c r="J50" i="1"/>
  <c r="K50" i="1"/>
  <c r="L50" i="1"/>
  <c r="E71" i="1" l="1"/>
  <c r="E53" i="1"/>
  <c r="E50" i="1" s="1"/>
  <c r="H172" i="1"/>
  <c r="I172" i="1"/>
  <c r="J172" i="1"/>
  <c r="K172" i="1"/>
  <c r="L172" i="1"/>
  <c r="G165" i="1"/>
  <c r="H165" i="1"/>
  <c r="I165" i="1"/>
  <c r="J165" i="1"/>
  <c r="K165" i="1"/>
  <c r="L165" i="1"/>
  <c r="G143" i="1"/>
  <c r="H143" i="1"/>
  <c r="I143" i="1"/>
  <c r="J143" i="1"/>
  <c r="K143" i="1"/>
  <c r="L143" i="1"/>
  <c r="F136" i="1"/>
  <c r="G136" i="1"/>
  <c r="H136" i="1"/>
  <c r="I136" i="1"/>
  <c r="J136" i="1"/>
  <c r="K136" i="1"/>
  <c r="L136" i="1"/>
  <c r="F129" i="1"/>
  <c r="G129" i="1"/>
  <c r="H129" i="1"/>
  <c r="I129" i="1"/>
  <c r="J129" i="1"/>
  <c r="K129" i="1"/>
  <c r="L129" i="1"/>
  <c r="H122" i="1"/>
  <c r="I122" i="1"/>
  <c r="J122" i="1"/>
  <c r="K122" i="1"/>
  <c r="L122" i="1"/>
  <c r="H115" i="1"/>
  <c r="I115" i="1"/>
  <c r="J115" i="1"/>
  <c r="K115" i="1"/>
  <c r="L115" i="1"/>
  <c r="G100" i="1"/>
  <c r="H100" i="1"/>
  <c r="I100" i="1"/>
  <c r="J100" i="1"/>
  <c r="K100" i="1"/>
  <c r="L100" i="1"/>
  <c r="G93" i="1"/>
  <c r="H93" i="1"/>
  <c r="I93" i="1"/>
  <c r="J93" i="1"/>
  <c r="K93" i="1"/>
  <c r="L93" i="1"/>
  <c r="F64" i="1"/>
  <c r="H64" i="1"/>
  <c r="I64" i="1"/>
  <c r="J64" i="1"/>
  <c r="K64" i="1"/>
  <c r="L64" i="1"/>
  <c r="H57" i="1"/>
  <c r="F57" i="1"/>
  <c r="G57" i="1"/>
  <c r="I57" i="1"/>
  <c r="J57" i="1"/>
  <c r="K57" i="1"/>
  <c r="G36" i="1"/>
  <c r="H36" i="1"/>
  <c r="I36" i="1"/>
  <c r="J36" i="1"/>
  <c r="K36" i="1"/>
  <c r="L36" i="1"/>
  <c r="H29" i="1"/>
  <c r="I29" i="1"/>
  <c r="J29" i="1"/>
  <c r="K29" i="1"/>
  <c r="L29" i="1"/>
  <c r="K22" i="1"/>
  <c r="I15" i="1"/>
  <c r="J15" i="1"/>
  <c r="K15" i="1"/>
  <c r="L15" i="1"/>
  <c r="G8" i="1"/>
  <c r="L8" i="1"/>
  <c r="F14" i="1"/>
  <c r="J25" i="1" l="1"/>
  <c r="I25" i="1"/>
  <c r="H25" i="1"/>
  <c r="H212" i="1" s="1"/>
  <c r="I212" i="1" l="1"/>
  <c r="I81" i="1"/>
  <c r="J212" i="1"/>
  <c r="J81" i="1"/>
  <c r="J22" i="1"/>
  <c r="H22" i="1"/>
  <c r="I22" i="1"/>
  <c r="E10" i="1"/>
  <c r="E9" i="1"/>
  <c r="I160" i="1" l="1"/>
  <c r="J160" i="1"/>
  <c r="H161" i="1"/>
  <c r="I161" i="1"/>
  <c r="J161" i="1"/>
  <c r="I159" i="1"/>
  <c r="J159" i="1"/>
  <c r="I233" i="1" l="1"/>
  <c r="H291" i="1"/>
  <c r="H263" i="1"/>
  <c r="H249" i="1"/>
  <c r="K236" i="1"/>
  <c r="J236" i="1"/>
  <c r="I236" i="1"/>
  <c r="H236" i="1"/>
  <c r="H207" i="1" s="1"/>
  <c r="J14" i="1" l="1"/>
  <c r="J84" i="1" s="1"/>
  <c r="I14" i="1"/>
  <c r="I84" i="1" s="1"/>
  <c r="J8" i="1" l="1"/>
  <c r="J78" i="1"/>
  <c r="I8" i="1"/>
  <c r="I78" i="1"/>
  <c r="G256" i="1"/>
  <c r="G254" i="1"/>
  <c r="G240" i="1"/>
  <c r="G161" i="1" s="1"/>
  <c r="G242" i="1"/>
  <c r="G277" i="1"/>
  <c r="G218" i="1"/>
  <c r="K197" i="1"/>
  <c r="J197" i="1"/>
  <c r="I200" i="1"/>
  <c r="I197" i="1"/>
  <c r="G197" i="1"/>
  <c r="G175" i="1"/>
  <c r="G172" i="1" s="1"/>
  <c r="G170" i="1"/>
  <c r="G35" i="1"/>
  <c r="G29" i="1" s="1"/>
  <c r="G21" i="1"/>
  <c r="G15" i="1" l="1"/>
  <c r="F200" i="1" l="1"/>
  <c r="H11" i="1" l="1"/>
  <c r="H81" i="1" s="1"/>
  <c r="H18" i="1"/>
  <c r="H78" i="1" l="1"/>
  <c r="H219" i="1"/>
  <c r="H15" i="1"/>
  <c r="H8" i="1"/>
  <c r="H197" i="1"/>
  <c r="L63" i="1"/>
  <c r="L57" i="1" l="1"/>
  <c r="E63" i="1"/>
  <c r="E57" i="1" s="1"/>
  <c r="L215" i="1"/>
  <c r="L84" i="1"/>
  <c r="L25" i="1"/>
  <c r="L212" i="1" l="1"/>
  <c r="L81" i="1"/>
  <c r="L22" i="1"/>
  <c r="I219" i="1"/>
  <c r="I222" i="1"/>
  <c r="J222" i="1"/>
  <c r="K222" i="1"/>
  <c r="L222" i="1"/>
  <c r="G221" i="1"/>
  <c r="H221" i="1"/>
  <c r="I221" i="1"/>
  <c r="J221" i="1"/>
  <c r="K221" i="1"/>
  <c r="L221" i="1"/>
  <c r="F221" i="1"/>
  <c r="G220" i="1"/>
  <c r="H220" i="1"/>
  <c r="I220" i="1"/>
  <c r="J220" i="1"/>
  <c r="K220" i="1"/>
  <c r="L220" i="1"/>
  <c r="K219" i="1"/>
  <c r="L219" i="1"/>
  <c r="L218" i="1"/>
  <c r="G217" i="1"/>
  <c r="H217" i="1"/>
  <c r="I217" i="1"/>
  <c r="J217" i="1"/>
  <c r="K217" i="1"/>
  <c r="L217" i="1"/>
  <c r="F217" i="1"/>
  <c r="K14" i="1" l="1"/>
  <c r="K84" i="1" s="1"/>
  <c r="K78" i="1" l="1"/>
  <c r="K8" i="1"/>
  <c r="E14" i="1"/>
  <c r="E291" i="1"/>
  <c r="E289" i="1"/>
  <c r="E284" i="1"/>
  <c r="E281" i="1"/>
  <c r="E273" i="1"/>
  <c r="E263" i="1"/>
  <c r="E260" i="1"/>
  <c r="E259" i="1"/>
  <c r="E253" i="1"/>
  <c r="E252" i="1"/>
  <c r="E288" i="1"/>
  <c r="E290" i="1"/>
  <c r="E292" i="1"/>
  <c r="E285" i="1"/>
  <c r="E278" i="1"/>
  <c r="E271" i="1"/>
  <c r="E264" i="1"/>
  <c r="E257" i="1"/>
  <c r="E250" i="1"/>
  <c r="E243" i="1"/>
  <c r="F247" i="1" l="1"/>
  <c r="F240" i="1"/>
  <c r="F246" i="1"/>
  <c r="F239" i="1"/>
  <c r="F152" i="1" l="1"/>
  <c r="G152" i="1"/>
  <c r="H152" i="1"/>
  <c r="I152" i="1"/>
  <c r="J152" i="1"/>
  <c r="K152" i="1"/>
  <c r="L152" i="1"/>
  <c r="H153" i="1"/>
  <c r="I153" i="1"/>
  <c r="J153" i="1"/>
  <c r="K153" i="1"/>
  <c r="L153" i="1"/>
  <c r="F154" i="1"/>
  <c r="G154" i="1"/>
  <c r="H154" i="1"/>
  <c r="I154" i="1"/>
  <c r="J154" i="1"/>
  <c r="K154" i="1"/>
  <c r="L154" i="1"/>
  <c r="F155" i="1"/>
  <c r="G155" i="1"/>
  <c r="H155" i="1"/>
  <c r="I155" i="1"/>
  <c r="J155" i="1"/>
  <c r="K155" i="1"/>
  <c r="L155" i="1"/>
  <c r="J156" i="1"/>
  <c r="K156" i="1"/>
  <c r="L156" i="1"/>
  <c r="G151" i="1"/>
  <c r="H151" i="1"/>
  <c r="I151" i="1"/>
  <c r="J151" i="1"/>
  <c r="K151" i="1"/>
  <c r="L151" i="1"/>
  <c r="F151" i="1"/>
  <c r="F227" i="1"/>
  <c r="G227" i="1"/>
  <c r="H227" i="1"/>
  <c r="I227" i="1"/>
  <c r="J227" i="1"/>
  <c r="K227" i="1"/>
  <c r="L227" i="1"/>
  <c r="F228" i="1"/>
  <c r="G228" i="1"/>
  <c r="H228" i="1"/>
  <c r="I228" i="1"/>
  <c r="J228" i="1"/>
  <c r="K228" i="1"/>
  <c r="L228" i="1"/>
  <c r="G229" i="1"/>
  <c r="I229" i="1"/>
  <c r="J229" i="1"/>
  <c r="K229" i="1"/>
  <c r="L229" i="1"/>
  <c r="F224" i="1"/>
  <c r="G224" i="1"/>
  <c r="H224" i="1"/>
  <c r="I224" i="1"/>
  <c r="J224" i="1"/>
  <c r="K224" i="1"/>
  <c r="L224" i="1"/>
  <c r="F225" i="1"/>
  <c r="G225" i="1"/>
  <c r="G203" i="1" s="1"/>
  <c r="H225" i="1"/>
  <c r="H203" i="1" s="1"/>
  <c r="I225" i="1"/>
  <c r="I203" i="1" s="1"/>
  <c r="J225" i="1"/>
  <c r="K225" i="1"/>
  <c r="L225" i="1"/>
  <c r="H226" i="1"/>
  <c r="H204" i="1" s="1"/>
  <c r="I226" i="1"/>
  <c r="I204" i="1" s="1"/>
  <c r="J226" i="1"/>
  <c r="K226" i="1"/>
  <c r="L226" i="1"/>
  <c r="G125" i="1"/>
  <c r="F125" i="1"/>
  <c r="G118" i="1"/>
  <c r="G115" i="1" s="1"/>
  <c r="F118" i="1"/>
  <c r="F121" i="1"/>
  <c r="E120" i="1"/>
  <c r="E119" i="1"/>
  <c r="E117" i="1"/>
  <c r="E116" i="1"/>
  <c r="L150" i="1" l="1"/>
  <c r="F115" i="1"/>
  <c r="F226" i="1"/>
  <c r="G226" i="1"/>
  <c r="G122" i="1"/>
  <c r="K150" i="1"/>
  <c r="J150" i="1"/>
  <c r="E217" i="1"/>
  <c r="E224" i="1"/>
  <c r="E151" i="1"/>
  <c r="E221" i="1"/>
  <c r="E225" i="1"/>
  <c r="E227" i="1"/>
  <c r="E228" i="1"/>
  <c r="E121" i="1"/>
  <c r="G153" i="1"/>
  <c r="E118" i="1"/>
  <c r="E115" i="1" l="1"/>
  <c r="E226" i="1"/>
  <c r="G219" i="1"/>
  <c r="E239" i="1" l="1"/>
  <c r="E211" i="1" l="1"/>
  <c r="G249" i="1"/>
  <c r="G163" i="1" s="1"/>
  <c r="G233" i="1"/>
  <c r="G204" i="1" s="1"/>
  <c r="G64" i="1" l="1"/>
  <c r="G28" i="1"/>
  <c r="G215" i="1" l="1"/>
  <c r="G84" i="1"/>
  <c r="G22" i="1"/>
  <c r="G78" i="1"/>
  <c r="F19" i="1"/>
  <c r="F82" i="1" s="1"/>
  <c r="E82" i="1" l="1"/>
  <c r="F220" i="1"/>
  <c r="E220" i="1" s="1"/>
  <c r="F18" i="1"/>
  <c r="F161" i="1"/>
  <c r="F96" i="1" l="1"/>
  <c r="F25" i="1"/>
  <c r="F11" i="1"/>
  <c r="F22" i="1" l="1"/>
  <c r="F8" i="1"/>
  <c r="F197" i="1"/>
  <c r="E25" i="1"/>
  <c r="F32" i="1"/>
  <c r="F29" i="1" s="1"/>
  <c r="F282" i="1"/>
  <c r="F277" i="1"/>
  <c r="E277" i="1" s="1"/>
  <c r="F160" i="1"/>
  <c r="F146" i="1"/>
  <c r="F153" i="1" l="1"/>
  <c r="F219" i="1"/>
  <c r="H200" i="1"/>
  <c r="G113" i="1"/>
  <c r="H286" i="1"/>
  <c r="G286" i="1"/>
  <c r="E219" i="1" l="1"/>
  <c r="I279" i="1"/>
  <c r="H279" i="1"/>
  <c r="G164" i="1" l="1"/>
  <c r="G185" i="1" s="1"/>
  <c r="E70" i="1" l="1"/>
  <c r="E64" i="1" s="1"/>
  <c r="G222" i="1" l="1"/>
  <c r="G156" i="1" l="1"/>
  <c r="G192" i="1" l="1"/>
  <c r="G150" i="1"/>
  <c r="H156" i="1"/>
  <c r="H150" i="1" s="1"/>
  <c r="I156" i="1"/>
  <c r="I150" i="1" s="1"/>
  <c r="H164" i="1"/>
  <c r="I164" i="1"/>
  <c r="J164" i="1"/>
  <c r="K164" i="1"/>
  <c r="L164" i="1"/>
  <c r="G159" i="1"/>
  <c r="F256" i="1" l="1"/>
  <c r="E256" i="1" s="1"/>
  <c r="F242" i="1" l="1"/>
  <c r="F249" i="1" l="1"/>
  <c r="E249" i="1" s="1"/>
  <c r="F163" i="1" l="1"/>
  <c r="F170" i="1"/>
  <c r="F102" i="1"/>
  <c r="F100" i="1" s="1"/>
  <c r="F280" i="1" l="1"/>
  <c r="E280" i="1" s="1"/>
  <c r="F245" i="1"/>
  <c r="E245" i="1" l="1"/>
  <c r="F159" i="1"/>
  <c r="F149" i="1" l="1"/>
  <c r="F143" i="1" s="1"/>
  <c r="F21" i="1"/>
  <c r="F84" i="1" s="1"/>
  <c r="E84" i="1" s="1"/>
  <c r="F168" i="1"/>
  <c r="F165" i="1" s="1"/>
  <c r="F99" i="1"/>
  <c r="F93" i="1" s="1"/>
  <c r="F128" i="1"/>
  <c r="F122" i="1" s="1"/>
  <c r="F222" i="1" l="1"/>
  <c r="F229" i="1"/>
  <c r="E229" i="1" s="1"/>
  <c r="E223" i="1" s="1"/>
  <c r="F156" i="1"/>
  <c r="F150" i="1" s="1"/>
  <c r="F233" i="1"/>
  <c r="E168" i="1"/>
  <c r="F174" i="1"/>
  <c r="E222" i="1" l="1"/>
  <c r="F175" i="1"/>
  <c r="F172" i="1" s="1"/>
  <c r="F261" i="1"/>
  <c r="F254" i="1" l="1"/>
  <c r="G236" i="1" l="1"/>
  <c r="J232" i="1"/>
  <c r="J203" i="1" s="1"/>
  <c r="K232" i="1"/>
  <c r="J233" i="1"/>
  <c r="J204" i="1" s="1"/>
  <c r="K233" i="1"/>
  <c r="G234" i="1"/>
  <c r="H234" i="1"/>
  <c r="H230" i="1" s="1"/>
  <c r="I234" i="1"/>
  <c r="J234" i="1"/>
  <c r="K234" i="1"/>
  <c r="J235" i="1"/>
  <c r="K235" i="1"/>
  <c r="H231" i="1"/>
  <c r="I231" i="1"/>
  <c r="J231" i="1"/>
  <c r="K231" i="1"/>
  <c r="G231" i="1"/>
  <c r="F181" i="1" l="1"/>
  <c r="G181" i="1"/>
  <c r="H181" i="1"/>
  <c r="I181" i="1"/>
  <c r="G182" i="1"/>
  <c r="H182" i="1"/>
  <c r="I182" i="1"/>
  <c r="I189" i="1" s="1"/>
  <c r="F183" i="1"/>
  <c r="H185" i="1"/>
  <c r="L185" i="1"/>
  <c r="G180" i="1"/>
  <c r="H180" i="1"/>
  <c r="I180" i="1"/>
  <c r="E178" i="1"/>
  <c r="E177" i="1"/>
  <c r="E176" i="1"/>
  <c r="E175" i="1"/>
  <c r="E174" i="1"/>
  <c r="E173" i="1"/>
  <c r="H187" i="1" l="1"/>
  <c r="E172" i="1"/>
  <c r="I187" i="1"/>
  <c r="F17" i="1" l="1"/>
  <c r="F80" i="1" s="1"/>
  <c r="F15" i="1" l="1"/>
  <c r="F218" i="1"/>
  <c r="F203" i="1" s="1"/>
  <c r="F199" i="1"/>
  <c r="E218" i="1" l="1"/>
  <c r="E216" i="1" s="1"/>
  <c r="E80" i="1"/>
  <c r="F182" i="1" l="1"/>
  <c r="I286" i="1" l="1"/>
  <c r="J286" i="1"/>
  <c r="K286" i="1"/>
  <c r="L286" i="1"/>
  <c r="F286" i="1"/>
  <c r="F184" i="1" l="1"/>
  <c r="E287" i="1" l="1"/>
  <c r="E286" i="1" s="1"/>
  <c r="G109" i="1" l="1"/>
  <c r="G188" i="1" s="1"/>
  <c r="H109" i="1"/>
  <c r="H188" i="1" s="1"/>
  <c r="I109" i="1"/>
  <c r="I188" i="1" s="1"/>
  <c r="J109" i="1"/>
  <c r="K109" i="1"/>
  <c r="L109" i="1"/>
  <c r="F110" i="1"/>
  <c r="G110" i="1"/>
  <c r="H110" i="1"/>
  <c r="H189" i="1" s="1"/>
  <c r="I110" i="1"/>
  <c r="J110" i="1"/>
  <c r="K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H113" i="1"/>
  <c r="H192" i="1" s="1"/>
  <c r="I113" i="1"/>
  <c r="J113" i="1"/>
  <c r="K113" i="1"/>
  <c r="L113" i="1"/>
  <c r="G108" i="1"/>
  <c r="G187" i="1" s="1"/>
  <c r="H108" i="1"/>
  <c r="I108" i="1"/>
  <c r="J108" i="1"/>
  <c r="K108" i="1"/>
  <c r="L108" i="1"/>
  <c r="F108" i="1"/>
  <c r="E99" i="1"/>
  <c r="E98" i="1"/>
  <c r="E97" i="1"/>
  <c r="E96" i="1"/>
  <c r="E95" i="1"/>
  <c r="E94" i="1"/>
  <c r="J107" i="1" l="1"/>
  <c r="I107" i="1"/>
  <c r="K107" i="1"/>
  <c r="H107" i="1"/>
  <c r="E93" i="1"/>
  <c r="G189" i="1"/>
  <c r="G107" i="1"/>
  <c r="F164" i="1"/>
  <c r="F158" i="1" s="1"/>
  <c r="F185" i="1" l="1"/>
  <c r="F207" i="1" s="1"/>
  <c r="F180" i="1"/>
  <c r="H276" i="1"/>
  <c r="H272" i="1" s="1"/>
  <c r="I276" i="1"/>
  <c r="I272" i="1" s="1"/>
  <c r="J276" i="1"/>
  <c r="K276" i="1"/>
  <c r="L276" i="1"/>
  <c r="F276" i="1"/>
  <c r="K274" i="1"/>
  <c r="L274" i="1"/>
  <c r="K275" i="1"/>
  <c r="L275" i="1"/>
  <c r="K246" i="1"/>
  <c r="L246" i="1"/>
  <c r="K238" i="1"/>
  <c r="L238" i="1"/>
  <c r="F248" i="1"/>
  <c r="H248" i="1"/>
  <c r="H244" i="1" s="1"/>
  <c r="I248" i="1"/>
  <c r="I244" i="1" s="1"/>
  <c r="J248" i="1"/>
  <c r="K248" i="1"/>
  <c r="L248" i="1"/>
  <c r="K247" i="1"/>
  <c r="L247" i="1"/>
  <c r="F241" i="1"/>
  <c r="G241" i="1"/>
  <c r="G237" i="1" s="1"/>
  <c r="H241" i="1"/>
  <c r="H237" i="1" s="1"/>
  <c r="I241" i="1"/>
  <c r="I237" i="1" s="1"/>
  <c r="J241" i="1"/>
  <c r="K241" i="1"/>
  <c r="L241" i="1"/>
  <c r="G184" i="1"/>
  <c r="G191" i="1" s="1"/>
  <c r="I242" i="1"/>
  <c r="J242" i="1"/>
  <c r="K242" i="1"/>
  <c r="L242" i="1"/>
  <c r="K240" i="1"/>
  <c r="L240" i="1"/>
  <c r="F179" i="1" l="1"/>
  <c r="E241" i="1"/>
  <c r="E242" i="1"/>
  <c r="E275" i="1"/>
  <c r="E276" i="1"/>
  <c r="E240" i="1"/>
  <c r="E247" i="1"/>
  <c r="E246" i="1"/>
  <c r="F244" i="1"/>
  <c r="E248" i="1"/>
  <c r="E274" i="1"/>
  <c r="L237" i="1"/>
  <c r="F39" i="1"/>
  <c r="F212" i="1" l="1"/>
  <c r="F204" i="1" s="1"/>
  <c r="F81" i="1"/>
  <c r="F189" i="1"/>
  <c r="F36" i="1"/>
  <c r="E272" i="1"/>
  <c r="E244" i="1"/>
  <c r="J200" i="1"/>
  <c r="K200" i="1"/>
  <c r="L200" i="1"/>
  <c r="F231" i="1"/>
  <c r="I202" i="1"/>
  <c r="H202" i="1"/>
  <c r="G202" i="1"/>
  <c r="G205" i="1"/>
  <c r="G206" i="1"/>
  <c r="H206" i="1"/>
  <c r="E81" i="1" l="1"/>
  <c r="F78" i="1"/>
  <c r="H201" i="1"/>
  <c r="E214" i="1"/>
  <c r="F206" i="1"/>
  <c r="E210" i="1"/>
  <c r="E213" i="1"/>
  <c r="K209" i="1"/>
  <c r="J209" i="1"/>
  <c r="I209" i="1"/>
  <c r="F209" i="1"/>
  <c r="E171" i="1" l="1"/>
  <c r="I185" i="1"/>
  <c r="I192" i="1" s="1"/>
  <c r="J207" i="1"/>
  <c r="J185" i="1"/>
  <c r="J192" i="1" s="1"/>
  <c r="K207" i="1"/>
  <c r="K185" i="1"/>
  <c r="K192" i="1" s="1"/>
  <c r="L283" i="1"/>
  <c r="K283" i="1"/>
  <c r="J283" i="1"/>
  <c r="I283" i="1"/>
  <c r="H283" i="1"/>
  <c r="L282" i="1"/>
  <c r="K282" i="1"/>
  <c r="K272" i="1"/>
  <c r="F109" i="1"/>
  <c r="F107" i="1" s="1"/>
  <c r="E282" i="1" l="1"/>
  <c r="I207" i="1"/>
  <c r="H209" i="1"/>
  <c r="G279" i="1"/>
  <c r="G209" i="1"/>
  <c r="G272" i="1"/>
  <c r="J279" i="1"/>
  <c r="K279" i="1"/>
  <c r="F272" i="1"/>
  <c r="J272" i="1"/>
  <c r="L232" i="1" l="1"/>
  <c r="K230" i="1"/>
  <c r="L233" i="1"/>
  <c r="E233" i="1" s="1"/>
  <c r="F234" i="1"/>
  <c r="L234" i="1"/>
  <c r="L235" i="1"/>
  <c r="L236" i="1"/>
  <c r="E236" i="1" s="1"/>
  <c r="L231" i="1"/>
  <c r="F238" i="1"/>
  <c r="L270" i="1"/>
  <c r="L163" i="1" s="1"/>
  <c r="L184" i="1" s="1"/>
  <c r="L191" i="1" s="1"/>
  <c r="K270" i="1"/>
  <c r="J270" i="1"/>
  <c r="I270" i="1"/>
  <c r="L269" i="1"/>
  <c r="K269" i="1"/>
  <c r="J269" i="1"/>
  <c r="I269" i="1"/>
  <c r="I265" i="1" s="1"/>
  <c r="H269" i="1"/>
  <c r="H265" i="1" s="1"/>
  <c r="F269" i="1"/>
  <c r="L268" i="1"/>
  <c r="K268" i="1"/>
  <c r="L267" i="1"/>
  <c r="L160" i="1" s="1"/>
  <c r="L181" i="1" s="1"/>
  <c r="L188" i="1" s="1"/>
  <c r="K267" i="1"/>
  <c r="K203" i="1" s="1"/>
  <c r="L266" i="1"/>
  <c r="L159" i="1" s="1"/>
  <c r="K266" i="1"/>
  <c r="F266" i="1"/>
  <c r="L262" i="1"/>
  <c r="K262" i="1"/>
  <c r="J262" i="1"/>
  <c r="I262" i="1"/>
  <c r="I258" i="1" s="1"/>
  <c r="H262" i="1"/>
  <c r="H258" i="1" s="1"/>
  <c r="L261" i="1"/>
  <c r="K261" i="1"/>
  <c r="L255" i="1"/>
  <c r="K255" i="1"/>
  <c r="J255" i="1"/>
  <c r="I255" i="1"/>
  <c r="H255" i="1"/>
  <c r="L254" i="1"/>
  <c r="K254" i="1"/>
  <c r="L203" i="1" l="1"/>
  <c r="J205" i="1"/>
  <c r="K205" i="1"/>
  <c r="L162" i="1"/>
  <c r="L183" i="1" s="1"/>
  <c r="L190" i="1" s="1"/>
  <c r="H205" i="1"/>
  <c r="I205" i="1"/>
  <c r="K204" i="1"/>
  <c r="L205" i="1"/>
  <c r="E231" i="1"/>
  <c r="L202" i="1"/>
  <c r="E254" i="1"/>
  <c r="E261" i="1"/>
  <c r="E266" i="1"/>
  <c r="J181" i="1"/>
  <c r="J188" i="1" s="1"/>
  <c r="E267" i="1"/>
  <c r="I163" i="1"/>
  <c r="I184" i="1" s="1"/>
  <c r="I191" i="1" s="1"/>
  <c r="E270" i="1"/>
  <c r="I206" i="1"/>
  <c r="E238" i="1"/>
  <c r="E237" i="1" s="1"/>
  <c r="F202" i="1"/>
  <c r="E232" i="1"/>
  <c r="J180" i="1"/>
  <c r="J202" i="1"/>
  <c r="K160" i="1"/>
  <c r="K181" i="1" s="1"/>
  <c r="K188" i="1" s="1"/>
  <c r="J163" i="1"/>
  <c r="J184" i="1" s="1"/>
  <c r="J191" i="1" s="1"/>
  <c r="J206" i="1"/>
  <c r="E234" i="1"/>
  <c r="K159" i="1"/>
  <c r="K202" i="1"/>
  <c r="E269" i="1"/>
  <c r="K163" i="1"/>
  <c r="K184" i="1" s="1"/>
  <c r="K191" i="1" s="1"/>
  <c r="K206" i="1"/>
  <c r="E268" i="1"/>
  <c r="E235" i="1"/>
  <c r="L206" i="1"/>
  <c r="J182" i="1"/>
  <c r="I162" i="1"/>
  <c r="I251" i="1"/>
  <c r="K161" i="1"/>
  <c r="K182" i="1" s="1"/>
  <c r="K189" i="1" s="1"/>
  <c r="L161" i="1"/>
  <c r="L182" i="1" s="1"/>
  <c r="H162" i="1"/>
  <c r="H158" i="1" s="1"/>
  <c r="H251" i="1"/>
  <c r="J162" i="1"/>
  <c r="L180" i="1"/>
  <c r="G162" i="1"/>
  <c r="G158" i="1" s="1"/>
  <c r="K162" i="1"/>
  <c r="K183" i="1" s="1"/>
  <c r="K190" i="1" s="1"/>
  <c r="K251" i="1"/>
  <c r="J258" i="1"/>
  <c r="J251" i="1"/>
  <c r="G258" i="1"/>
  <c r="K258" i="1"/>
  <c r="F230" i="1"/>
  <c r="J244" i="1"/>
  <c r="J265" i="1"/>
  <c r="J230" i="1"/>
  <c r="I230" i="1"/>
  <c r="G244" i="1"/>
  <c r="K244" i="1"/>
  <c r="G265" i="1"/>
  <c r="K265" i="1"/>
  <c r="G230" i="1"/>
  <c r="F265" i="1"/>
  <c r="G251" i="1"/>
  <c r="F237" i="1"/>
  <c r="E203" i="1" l="1"/>
  <c r="L179" i="1"/>
  <c r="I183" i="1"/>
  <c r="I179" i="1" s="1"/>
  <c r="I158" i="1"/>
  <c r="J187" i="1"/>
  <c r="J183" i="1"/>
  <c r="J190" i="1" s="1"/>
  <c r="J158" i="1"/>
  <c r="K180" i="1"/>
  <c r="K158" i="1"/>
  <c r="L158" i="1"/>
  <c r="H183" i="1"/>
  <c r="H179" i="1" s="1"/>
  <c r="L187" i="1"/>
  <c r="E230" i="1"/>
  <c r="E206" i="1"/>
  <c r="E202" i="1"/>
  <c r="E265" i="1"/>
  <c r="E161" i="1"/>
  <c r="E182" i="1"/>
  <c r="J189" i="1"/>
  <c r="G183" i="1"/>
  <c r="G179" i="1" s="1"/>
  <c r="H190" i="1" l="1"/>
  <c r="H186" i="1" s="1"/>
  <c r="J179" i="1"/>
  <c r="I190" i="1"/>
  <c r="I186" i="1" s="1"/>
  <c r="K187" i="1"/>
  <c r="K179" i="1"/>
  <c r="G190" i="1"/>
  <c r="G186" i="1" s="1"/>
  <c r="E159" i="1"/>
  <c r="E167" i="1" l="1"/>
  <c r="E169" i="1"/>
  <c r="E170" i="1"/>
  <c r="E166" i="1"/>
  <c r="E160" i="1"/>
  <c r="E162" i="1"/>
  <c r="E163" i="1"/>
  <c r="E164" i="1"/>
  <c r="E165" i="1" l="1"/>
  <c r="E158" i="1"/>
  <c r="E180" i="1"/>
  <c r="E183" i="1"/>
  <c r="E184" i="1"/>
  <c r="E181" i="1"/>
  <c r="E185" i="1"/>
  <c r="E179" i="1" l="1"/>
  <c r="L197" i="1"/>
  <c r="E197" i="1" s="1"/>
  <c r="E11" i="1" l="1"/>
  <c r="E12" i="1"/>
  <c r="E13" i="1"/>
  <c r="E8" i="1" l="1"/>
  <c r="L110" i="1"/>
  <c r="L107" i="1" s="1"/>
  <c r="F192" i="1" l="1"/>
  <c r="L78" i="1" l="1"/>
  <c r="E78" i="1"/>
  <c r="L192" i="1"/>
  <c r="E192" i="1" s="1"/>
  <c r="L207" i="1"/>
  <c r="E215" i="1"/>
  <c r="L189" i="1"/>
  <c r="E145" i="1"/>
  <c r="E146" i="1"/>
  <c r="E147" i="1"/>
  <c r="E148" i="1"/>
  <c r="E149" i="1"/>
  <c r="E144" i="1"/>
  <c r="E138" i="1"/>
  <c r="E139" i="1"/>
  <c r="E140" i="1"/>
  <c r="E141" i="1"/>
  <c r="E142" i="1"/>
  <c r="E137" i="1"/>
  <c r="E131" i="1"/>
  <c r="E132" i="1"/>
  <c r="E133" i="1"/>
  <c r="E134" i="1"/>
  <c r="E135" i="1"/>
  <c r="E130" i="1"/>
  <c r="E124" i="1"/>
  <c r="E125" i="1"/>
  <c r="E126" i="1"/>
  <c r="E127" i="1"/>
  <c r="E128" i="1"/>
  <c r="E123" i="1"/>
  <c r="E108" i="1"/>
  <c r="E102" i="1"/>
  <c r="E103" i="1"/>
  <c r="E104" i="1"/>
  <c r="E105" i="1"/>
  <c r="E106" i="1"/>
  <c r="E101" i="1"/>
  <c r="E91" i="1"/>
  <c r="J186" i="1"/>
  <c r="K186" i="1"/>
  <c r="F190" i="1"/>
  <c r="E190" i="1" s="1"/>
  <c r="E38" i="1"/>
  <c r="E39" i="1"/>
  <c r="E40" i="1"/>
  <c r="E41" i="1"/>
  <c r="E37" i="1"/>
  <c r="E24" i="1"/>
  <c r="E26" i="1"/>
  <c r="E27" i="1"/>
  <c r="E28" i="1"/>
  <c r="E23" i="1"/>
  <c r="E31" i="1"/>
  <c r="E32" i="1"/>
  <c r="E33" i="1"/>
  <c r="E34" i="1"/>
  <c r="E35" i="1"/>
  <c r="E30" i="1"/>
  <c r="E18" i="1"/>
  <c r="E19" i="1"/>
  <c r="E20" i="1"/>
  <c r="E16" i="1"/>
  <c r="E207" i="1" l="1"/>
  <c r="E122" i="1"/>
  <c r="E136" i="1"/>
  <c r="E100" i="1"/>
  <c r="E129" i="1"/>
  <c r="E22" i="1"/>
  <c r="L186" i="1"/>
  <c r="E143" i="1"/>
  <c r="E29" i="1"/>
  <c r="L204" i="1"/>
  <c r="E204" i="1" s="1"/>
  <c r="E212" i="1"/>
  <c r="E209" i="1" s="1"/>
  <c r="E189" i="1"/>
  <c r="L209" i="1"/>
  <c r="F191" i="1"/>
  <c r="E191" i="1" s="1"/>
  <c r="F283" i="1"/>
  <c r="E283" i="1" s="1"/>
  <c r="E279" i="1" s="1"/>
  <c r="F255" i="1"/>
  <c r="F262" i="1"/>
  <c r="E262" i="1" s="1"/>
  <c r="E258" i="1" s="1"/>
  <c r="E112" i="1"/>
  <c r="E111" i="1"/>
  <c r="E109" i="1"/>
  <c r="F187" i="1"/>
  <c r="E154" i="1"/>
  <c r="E153" i="1"/>
  <c r="E155" i="1"/>
  <c r="E156" i="1"/>
  <c r="E152" i="1"/>
  <c r="H199" i="1"/>
  <c r="I199" i="1"/>
  <c r="J199" i="1"/>
  <c r="K199" i="1"/>
  <c r="L199" i="1"/>
  <c r="H198" i="1"/>
  <c r="I198" i="1"/>
  <c r="J198" i="1"/>
  <c r="K198" i="1"/>
  <c r="L198" i="1"/>
  <c r="H196" i="1"/>
  <c r="I196" i="1"/>
  <c r="J196" i="1"/>
  <c r="K196" i="1"/>
  <c r="L196" i="1"/>
  <c r="H195" i="1"/>
  <c r="I195" i="1"/>
  <c r="J195" i="1"/>
  <c r="K195" i="1"/>
  <c r="L195" i="1"/>
  <c r="E150" i="1" l="1"/>
  <c r="J194" i="1"/>
  <c r="E255" i="1"/>
  <c r="E251" i="1" s="1"/>
  <c r="F205" i="1"/>
  <c r="E187" i="1"/>
  <c r="L223" i="1"/>
  <c r="I216" i="1"/>
  <c r="K216" i="1"/>
  <c r="J216" i="1"/>
  <c r="L216" i="1"/>
  <c r="H216" i="1"/>
  <c r="F279" i="1"/>
  <c r="F258" i="1"/>
  <c r="F251" i="1"/>
  <c r="K223" i="1"/>
  <c r="H223" i="1"/>
  <c r="J223" i="1"/>
  <c r="K194" i="1"/>
  <c r="I223" i="1"/>
  <c r="L194" i="1"/>
  <c r="I194" i="1"/>
  <c r="E205" i="1" l="1"/>
  <c r="E201" i="1" s="1"/>
  <c r="F201" i="1"/>
  <c r="K237" i="1"/>
  <c r="J237" i="1"/>
  <c r="L201" i="1"/>
  <c r="I201" i="1"/>
  <c r="J201" i="1" l="1"/>
  <c r="K201" i="1"/>
  <c r="F188" i="1" l="1"/>
  <c r="F186" i="1" s="1"/>
  <c r="F195" i="1"/>
  <c r="G195" i="1"/>
  <c r="F196" i="1"/>
  <c r="G196" i="1"/>
  <c r="F198" i="1"/>
  <c r="G198" i="1"/>
  <c r="G199" i="1"/>
  <c r="G200" i="1"/>
  <c r="E200" i="1" s="1"/>
  <c r="E188" i="1" l="1"/>
  <c r="G216" i="1"/>
  <c r="F216" i="1"/>
  <c r="E199" i="1"/>
  <c r="E195" i="1"/>
  <c r="E42" i="1"/>
  <c r="E36" i="1" s="1"/>
  <c r="E198" i="1"/>
  <c r="E196" i="1"/>
  <c r="E92" i="1"/>
  <c r="E86" i="1" s="1"/>
  <c r="E113" i="1"/>
  <c r="E21" i="1"/>
  <c r="E17" i="1"/>
  <c r="F194" i="1"/>
  <c r="G223" i="1"/>
  <c r="F223" i="1"/>
  <c r="G194" i="1"/>
  <c r="E186" i="1" l="1"/>
  <c r="E194" i="1"/>
  <c r="E15" i="1"/>
  <c r="E110" i="1" l="1"/>
  <c r="E107" i="1" s="1"/>
  <c r="G201" i="1" l="1"/>
</calcChain>
</file>

<file path=xl/sharedStrings.xml><?xml version="1.0" encoding="utf-8"?>
<sst xmlns="http://schemas.openxmlformats.org/spreadsheetml/2006/main" count="380" uniqueCount="95">
  <si>
    <t>№ п/п</t>
  </si>
  <si>
    <t>Финасовые затраты на реализацию (тыс.рублей)</t>
  </si>
  <si>
    <t>всего</t>
  </si>
  <si>
    <t>2019 г.</t>
  </si>
  <si>
    <t>2020 г.</t>
  </si>
  <si>
    <t>бюджет автономного округа</t>
  </si>
  <si>
    <t>местный бюджет</t>
  </si>
  <si>
    <t>Таблица 2</t>
  </si>
  <si>
    <t xml:space="preserve"> Ответственный исполнитель/соисполнитель</t>
  </si>
  <si>
    <t>Всего по муниципальной программе</t>
  </si>
  <si>
    <t>в том числе:</t>
  </si>
  <si>
    <t>прочие расходы</t>
  </si>
  <si>
    <t>Источники финансирования</t>
  </si>
  <si>
    <t>средства по Соглашениям по передаче полномочий</t>
  </si>
  <si>
    <t>федеральный бюджет</t>
  </si>
  <si>
    <t>иные источники</t>
  </si>
  <si>
    <t>инвестиции в объекты муниципальной собственности</t>
  </si>
  <si>
    <t>Мероприятия муниципальной программы</t>
  </si>
  <si>
    <t>департамент строительства и жилищно-коммунального комплекса Нефтеюганского района</t>
  </si>
  <si>
    <t>департамент строительства и жилищно-коммунального комплекса Нефтеюганского района/                                                                                                                               муниципальное казенное учреждение «Управление капитального строительства и жилищно-коммунального комплекса Нефтеюганского района»</t>
  </si>
  <si>
    <t>Подпрограмма II "Капитальный ремонт многоквартирных домов"</t>
  </si>
  <si>
    <t>Подпрограмма I "Создание условий для обеспечения качественными коммунальными услугами"</t>
  </si>
  <si>
    <t>Итого по подпрограмме I</t>
  </si>
  <si>
    <t>Итого по подпрограмме II</t>
  </si>
  <si>
    <t>Подпрограмма  III "Энергосбережение и повышение энергоэффективности"</t>
  </si>
  <si>
    <t>Итого по подпрограмме III</t>
  </si>
  <si>
    <t xml:space="preserve">Соисполнитель 1 - муниципальное казенное учреждение «Управление капитального строительства и жилищно-коммунального комплекса Нефтеюганского района» </t>
  </si>
  <si>
    <t xml:space="preserve">Ответственный исполнитель - департамент строительства и жилищно-коммунального комплекса Нефтеюганского района </t>
  </si>
  <si>
    <t>местный бюджет*</t>
  </si>
  <si>
    <t>Перечень основных мероприятий муниципальной программы</t>
  </si>
  <si>
    <t>средства поселений*</t>
  </si>
  <si>
    <t>1.1.</t>
  </si>
  <si>
    <t>1.2.</t>
  </si>
  <si>
    <t>1.4.</t>
  </si>
  <si>
    <t>1.6.</t>
  </si>
  <si>
    <t>2.1.</t>
  </si>
  <si>
    <t>2.2.</t>
  </si>
  <si>
    <t>3.1.</t>
  </si>
  <si>
    <t>3.2.</t>
  </si>
  <si>
    <t>3.3.</t>
  </si>
  <si>
    <t>3.4.</t>
  </si>
  <si>
    <t>2021г.</t>
  </si>
  <si>
    <t>2022г.</t>
  </si>
  <si>
    <t>2023г.</t>
  </si>
  <si>
    <t>2024г.</t>
  </si>
  <si>
    <t>2025-2030г.</t>
  </si>
  <si>
    <t>департамент строительства и жилищно-коммунального комплекса Нефтеюганского района/
 муниципальное казенное учреждение «Управление капитального строительства и жилищно-коммунального комплекса Нефтеюганского района»</t>
  </si>
  <si>
    <t>Основное мероприятие:                            Капитальный ремонт, ремонт систем теплоснабжения, водоснабжения, водоотведения, электроснабжения для подготовки к осенне-зимнему периоду (1)</t>
  </si>
  <si>
    <t>Основное мероприятие: Предоставление субсидии на возмещение затрат на реконструкцию (модернизацию) объектов тепло-, водоснабжения и водоотведения переданных по концессионному соглашению (1)</t>
  </si>
  <si>
    <t>4.1.</t>
  </si>
  <si>
    <t>Подпрограмма  IV "Формирование современной городской среды"</t>
  </si>
  <si>
    <t>4.2.</t>
  </si>
  <si>
    <t>Итого по подпрограмме IV</t>
  </si>
  <si>
    <t>Соисполнитель 3 - департамент финансов Нефтеюганского района</t>
  </si>
  <si>
    <t>Соисполнитель 4 - городское поселение Пойковский</t>
  </si>
  <si>
    <t>Соисполнитель 5 - сельское поселение Салым</t>
  </si>
  <si>
    <t>Соисполнитель 6 - сельское поселение Сингапай</t>
  </si>
  <si>
    <t>Соисполнитель 7 - сельское поселение Куть-Ях</t>
  </si>
  <si>
    <t>Соисполнитель 8 - сельское поселение Сентябрьский</t>
  </si>
  <si>
    <t>Соисполнитель 9 - сельское поселение Усть-Юган</t>
  </si>
  <si>
    <t xml:space="preserve">департамент строительства и жилищно-коммунального комплекса Нефтеюганского района/департамент финансов администрации Нефтеюганского район/городское и сельские поселения Нефтеюганского района
</t>
  </si>
  <si>
    <t xml:space="preserve"> </t>
  </si>
  <si>
    <t>департамент строительства и жилищно-коммунального комплекса Нефтеюганского района/департамент образования и молодежной политики НР</t>
  </si>
  <si>
    <t>2.3.</t>
  </si>
  <si>
    <t>департамент строительства и жилищно-коммунального комплекса Нефтеюганского района/                                                                                                                               муниципальное казенное учреждение «Управление капитального строительства и жилищно-коммунального комплекса Нефтеюганского района»/администрации поселений Нефтеюганского района</t>
  </si>
  <si>
    <t>Соисполнитель 10 - сельское поселение Каркатеевы</t>
  </si>
  <si>
    <t>Соисполнитель 11 - сельское поселение Лемпино</t>
  </si>
  <si>
    <t>Основное мероприятие:
Реконструкция, расширение, модернизация, строительство  и капитальный ремонт объектов коммунального комплекса  (1)</t>
  </si>
  <si>
    <t>4.3.</t>
  </si>
  <si>
    <t>Основное мероприятие:                   Обеспечение реализации  мероприятий по ремонту общего имущества в МКД (в том числе муниципальных квартир) (2)</t>
  </si>
  <si>
    <t>департамент строительства и жилищно-коммунального комплекса Нефтеюганского района/
  муниципальное казенное учреждение «Управление капитального строительства и жилищно-коммунального комплекса Нефтеюганского района»</t>
  </si>
  <si>
    <t>департамент строительства и жилищно-коммунального комплекса Нефтеюганского района/                                                                                                                               департамент образования и молодежной политики Нефтеюганского района, департамент культуры и спорта Нефтеюганского района</t>
  </si>
  <si>
    <t>Соисполнитель 2 - департамент образования и молодежной политики Нефтеюганского района Нефтеюганского района</t>
  </si>
  <si>
    <t>1.7.</t>
  </si>
  <si>
    <t>1.3.</t>
  </si>
  <si>
    <t>Основное мероприятие: 
Обеспечение деятельности департамента строительства и жилищно-коммунального комплекса Нефтеюганского района и подведомственного ему учреждения (1 - 8, 12)</t>
  </si>
  <si>
    <t>Основное мероприятие:                   Обеспечение мероприятий по капитальному ремонту многоквартирных домов (2, 4)</t>
  </si>
  <si>
    <t xml:space="preserve">Основное мероприятие:
Дезинсекция и дератизация  (12) </t>
  </si>
  <si>
    <t>Основное мероприятие:                   
Повышение энергетической эффективности в бюджетной сфере Нефтеюганского района (5)</t>
  </si>
  <si>
    <t>Основное мероприятие:                        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 (5-8)</t>
  </si>
  <si>
    <t>Основное мероприятие: Информационная поддержка и пропаганда энергосбережения и повышение энергетической эффективности на территории муниципального образования Нефтеюганский район (5-8)</t>
  </si>
  <si>
    <t>Основное мероприятие:                             Замена (поверка) поквартирных узлов учета энергоресурсов, установленных в квартирах муниципальной собственности (6-8)</t>
  </si>
  <si>
    <t>Основное мероприятие:
Реализация проектов "Народный бюджет" (10, 11, 14)</t>
  </si>
  <si>
    <t>Основное мероприятие:
Благоустройство территорий поселений Нефтеюганского района (10, 11)</t>
  </si>
  <si>
    <t>1.8.</t>
  </si>
  <si>
    <t>Основное мероприятие:             Предоставление субсидии из бюджета Нефтеюганского района юридическим лицам (за исключением субсидий государственным (муниципальным) учреждениям), индивидуальным предпринимателям, физическим лицам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энергии, расположенных на территории Нефтеюганского района  (3)</t>
  </si>
  <si>
    <t>Основное мероприятие:
Предоставление субсидии на возмещение недополученных доходов в связи с оказанием услуг по погребению на межселенной территории Нефтеюганского района  (13)</t>
  </si>
  <si>
    <t>Предоставление субсидии в связи с оказанием услуг в сфере ЖКК на территории Нефтеюганского района (3)</t>
  </si>
  <si>
    <t>департамент финансов администрации Нефтеюганского района/городское и сельские поселения Нефтеюганского района/муниципальное казенное учреждение «Управление капитального строительства и жилищно-коммунального комплекса Нефтеюганского района»</t>
  </si>
  <si>
    <t>Основное мероприятие:
Региональный проект "Формирование комфортной городской среды" (9-11, 15)</t>
  </si>
  <si>
    <t xml:space="preserve"> 1.5</t>
  </si>
  <si>
    <t>департамент строитенльства и жилищно-коммунального компленкса Нефтеюганского района</t>
  </si>
  <si>
    <t>Основное мероприятие:
Предоставление субсидии на возмещение недополученных доходов и (или) возмещение затрат в связи с оказанием услуги по теплоснабжению на территории Нефтеюганского района (3)</t>
  </si>
  <si>
    <t>Основное мероприятие:
Предоставление субсидии в связи с оказанием услуги по теплоснабжению на территории Нефтеюганского района (3)</t>
  </si>
  <si>
    <t>1.9.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</si>
</sst>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0_р_._-;\-* #,##0.00_р_._-;_-* &quot;-&quot;?_р_._-;_-@_-"/>
    <numFmt numFmtId="168" formatCode="_-* #,##0.00000_р_._-;\-* #,##0.00000_р_._-;_-* &quot;-&quot;??_р_._-;_-@_-"/>
    <numFmt numFmtId="169" formatCode="_-* #,##0.00000_р_._-;\-* #,##0.00000_р_._-;_-* &quot;-&quot;?_р_._-;_-@_-"/>
    <numFmt numFmtId="170" formatCode="_-* #,##0.000000\ _₽_-;\-* #,##0.000000\ _₽_-;_-* &quot;-&quot;??\ _₽_-;_-@_-"/>
    <numFmt numFmtId="171" formatCode="_-* #,##0.0000000\ _₽_-;\-* #,##0.0000000\ _₽_-;_-* &quot;-&quot;??\ _₽_-;_-@_-"/>
    <numFmt numFmtId="172" formatCode="_-* #,##0.00000\ _₽_-;\-* #,##0.00000\ _₽_-;_-* &quot;-&quot;?????\ _₽_-;_-@_-"/>
    <numFmt numFmtId="173" formatCode="_-* #,##0.0000000\ _₽_-;\-* #,##0.0000000\ _₽_-;_-* &quot;-&quot;???????\ _₽_-;_-@_-"/>
    <numFmt numFmtId="174" formatCode="_-* #,##0.00000_р_._-;\-* #,##0.00000_р_._-;_-* &quot;-&quot;?????_р_._-;_-@_-"/>
    <numFmt numFmtId="175" formatCode="_-* #,##0.000000_р_._-;\-* #,##0.000000_р_._-;_-* &quot;-&quot;??????_р_._-;_-@_-"/>
    <numFmt numFmtId="176" formatCode="_-* #,##0.000000_р_._-;\-* #,##0.000000_р_._-;_-* &quot;-&quot;?_р_._-;_-@_-"/>
    <numFmt numFmtId="177" formatCode="_-* #,##0.00000\ _₽_-;\-* #,##0.00000\ _₽_-;_-* &quot;-&quot;??\ _₽_-;_-@_-"/>
    <numFmt numFmtId="178" formatCode="_-* #,##0.000000\ _₽_-;\-* #,##0.000000\ _₽_-;_-* &quot;-&quot;??????\ _₽_-;_-@_-"/>
    <numFmt numFmtId="179" formatCode="#,##0.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36">
    <xf numFmtId="0" fontId="0" fillId="0" borderId="0" xfId="0"/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6" fontId="3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176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7" fontId="2" fillId="0" borderId="2" xfId="0" applyNumberFormat="1" applyFont="1" applyFill="1" applyBorder="1" applyAlignment="1">
      <alignment vertical="center" wrapText="1"/>
    </xf>
    <xf numFmtId="167" fontId="1" fillId="0" borderId="2" xfId="0" applyNumberFormat="1" applyFont="1" applyFill="1" applyBorder="1" applyAlignment="1">
      <alignment vertical="center" wrapText="1"/>
    </xf>
    <xf numFmtId="169" fontId="1" fillId="0" borderId="0" xfId="0" applyNumberFormat="1" applyFont="1" applyFill="1" applyAlignment="1">
      <alignment vertical="center"/>
    </xf>
    <xf numFmtId="167" fontId="8" fillId="0" borderId="2" xfId="0" applyNumberFormat="1" applyFont="1" applyFill="1" applyBorder="1" applyAlignment="1">
      <alignment vertical="center" wrapText="1"/>
    </xf>
    <xf numFmtId="167" fontId="9" fillId="0" borderId="2" xfId="0" applyNumberFormat="1" applyFont="1" applyFill="1" applyBorder="1" applyAlignment="1">
      <alignment vertical="center" wrapText="1"/>
    </xf>
    <xf numFmtId="171" fontId="1" fillId="0" borderId="0" xfId="0" applyNumberFormat="1" applyFont="1" applyFill="1" applyAlignment="1">
      <alignment vertical="center"/>
    </xf>
    <xf numFmtId="170" fontId="1" fillId="0" borderId="0" xfId="0" applyNumberFormat="1" applyFont="1" applyFill="1" applyAlignment="1">
      <alignment vertical="center"/>
    </xf>
    <xf numFmtId="172" fontId="1" fillId="0" borderId="0" xfId="0" applyNumberFormat="1" applyFont="1" applyFill="1" applyAlignment="1">
      <alignment vertical="center"/>
    </xf>
    <xf numFmtId="167" fontId="2" fillId="0" borderId="2" xfId="0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vertical="center"/>
    </xf>
    <xf numFmtId="173" fontId="1" fillId="0" borderId="0" xfId="0" applyNumberFormat="1" applyFont="1" applyFill="1" applyAlignment="1">
      <alignment vertical="center"/>
    </xf>
    <xf numFmtId="168" fontId="1" fillId="0" borderId="0" xfId="0" applyNumberFormat="1" applyFont="1" applyFill="1" applyAlignment="1">
      <alignment vertical="center"/>
    </xf>
    <xf numFmtId="175" fontId="1" fillId="0" borderId="0" xfId="0" applyNumberFormat="1" applyFont="1" applyFill="1" applyAlignment="1">
      <alignment vertical="center"/>
    </xf>
    <xf numFmtId="174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17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/>
    </xf>
    <xf numFmtId="178" fontId="1" fillId="0" borderId="0" xfId="0" applyNumberFormat="1" applyFont="1" applyFill="1" applyAlignment="1">
      <alignment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9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179" fontId="3" fillId="0" borderId="0" xfId="0" applyNumberFormat="1" applyFont="1" applyFill="1" applyBorder="1" applyAlignment="1">
      <alignment vertical="center"/>
    </xf>
    <xf numFmtId="179" fontId="3" fillId="0" borderId="2" xfId="0" applyNumberFormat="1" applyFont="1" applyFill="1" applyBorder="1" applyAlignment="1">
      <alignment horizontal="center" vertical="center"/>
    </xf>
    <xf numFmtId="177" fontId="12" fillId="0" borderId="0" xfId="0" applyNumberFormat="1" applyFont="1" applyFill="1" applyAlignment="1">
      <alignment vertical="center"/>
    </xf>
    <xf numFmtId="172" fontId="12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7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77" fontId="7" fillId="0" borderId="2" xfId="0" applyNumberFormat="1" applyFont="1" applyFill="1" applyBorder="1" applyAlignment="1">
      <alignment horizontal="right" vertical="center" wrapText="1"/>
    </xf>
    <xf numFmtId="177" fontId="6" fillId="0" borderId="2" xfId="0" applyNumberFormat="1" applyFont="1" applyFill="1" applyBorder="1" applyAlignment="1">
      <alignment horizontal="right" vertical="center" wrapText="1"/>
    </xf>
    <xf numFmtId="177" fontId="4" fillId="0" borderId="2" xfId="0" applyNumberFormat="1" applyFont="1" applyFill="1" applyBorder="1" applyAlignment="1">
      <alignment horizontal="right" vertical="center" wrapText="1"/>
    </xf>
    <xf numFmtId="177" fontId="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vertical="center" wrapText="1"/>
    </xf>
    <xf numFmtId="177" fontId="3" fillId="0" borderId="2" xfId="0" applyNumberFormat="1" applyFont="1" applyFill="1" applyBorder="1" applyAlignment="1">
      <alignment vertical="center" wrapText="1"/>
    </xf>
    <xf numFmtId="177" fontId="3" fillId="0" borderId="2" xfId="0" applyNumberFormat="1" applyFont="1" applyFill="1" applyBorder="1" applyAlignment="1">
      <alignment vertical="center"/>
    </xf>
    <xf numFmtId="177" fontId="1" fillId="0" borderId="2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 wrapText="1"/>
    </xf>
    <xf numFmtId="167" fontId="14" fillId="0" borderId="0" xfId="0" applyNumberFormat="1" applyFont="1" applyFill="1" applyAlignment="1">
      <alignment vertical="center"/>
    </xf>
    <xf numFmtId="177" fontId="11" fillId="0" borderId="2" xfId="1" applyNumberFormat="1" applyFont="1" applyFill="1" applyBorder="1" applyAlignment="1">
      <alignment horizontal="right" vertical="center" wrapText="1"/>
    </xf>
    <xf numFmtId="177" fontId="1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77" fontId="6" fillId="0" borderId="2" xfId="0" applyNumberFormat="1" applyFont="1" applyFill="1" applyBorder="1" applyAlignment="1">
      <alignment vertical="center" wrapText="1"/>
    </xf>
    <xf numFmtId="179" fontId="1" fillId="0" borderId="1" xfId="0" applyNumberFormat="1" applyFont="1" applyFill="1" applyBorder="1" applyAlignment="1">
      <alignment vertical="center"/>
    </xf>
    <xf numFmtId="177" fontId="15" fillId="0" borderId="0" xfId="0" applyNumberFormat="1" applyFont="1" applyFill="1" applyAlignment="1">
      <alignment vertical="center"/>
    </xf>
    <xf numFmtId="177" fontId="16" fillId="0" borderId="0" xfId="0" applyNumberFormat="1" applyFont="1" applyFill="1" applyAlignment="1">
      <alignment vertical="center"/>
    </xf>
    <xf numFmtId="177" fontId="17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167" fontId="6" fillId="0" borderId="4" xfId="0" applyNumberFormat="1" applyFont="1" applyFill="1" applyBorder="1" applyAlignment="1">
      <alignment horizontal="center" vertical="center" wrapText="1"/>
    </xf>
    <xf numFmtId="167" fontId="6" fillId="0" borderId="5" xfId="0" applyNumberFormat="1" applyFont="1" applyFill="1" applyBorder="1" applyAlignment="1">
      <alignment horizontal="center" vertical="center" wrapText="1"/>
    </xf>
    <xf numFmtId="167" fontId="6" fillId="0" borderId="6" xfId="0" applyNumberFormat="1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horizontal="left" vertical="center" wrapText="1"/>
    </xf>
    <xf numFmtId="167" fontId="6" fillId="0" borderId="5" xfId="0" applyNumberFormat="1" applyFont="1" applyFill="1" applyBorder="1" applyAlignment="1">
      <alignment horizontal="left" vertical="center" wrapText="1"/>
    </xf>
    <xf numFmtId="167" fontId="6" fillId="0" borderId="6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6" xfId="0" applyNumberFormat="1" applyFont="1" applyFill="1" applyBorder="1" applyAlignment="1">
      <alignment horizontal="left" vertical="center" wrapText="1"/>
    </xf>
    <xf numFmtId="167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39" fontId="6" fillId="0" borderId="4" xfId="0" applyNumberFormat="1" applyFont="1" applyFill="1" applyBorder="1" applyAlignment="1">
      <alignment horizontal="left" vertical="center" wrapText="1"/>
    </xf>
    <xf numFmtId="39" fontId="6" fillId="0" borderId="5" xfId="0" applyNumberFormat="1" applyFont="1" applyFill="1" applyBorder="1" applyAlignment="1">
      <alignment horizontal="left" vertical="center" wrapText="1"/>
    </xf>
    <xf numFmtId="39" fontId="6" fillId="0" borderId="6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7" fontId="3" fillId="0" borderId="4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167" fontId="3" fillId="0" borderId="2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left" vertical="center" wrapText="1"/>
    </xf>
    <xf numFmtId="167" fontId="3" fillId="0" borderId="4" xfId="0" applyNumberFormat="1" applyFont="1" applyFill="1" applyBorder="1" applyAlignment="1">
      <alignment horizontal="left" vertical="center" wrapText="1"/>
    </xf>
    <xf numFmtId="167" fontId="3" fillId="0" borderId="5" xfId="0" applyNumberFormat="1" applyFont="1" applyFill="1" applyBorder="1" applyAlignment="1">
      <alignment horizontal="left" vertical="center" wrapText="1"/>
    </xf>
    <xf numFmtId="167" fontId="3" fillId="0" borderId="6" xfId="0" applyNumberFormat="1" applyFont="1" applyFill="1" applyBorder="1" applyAlignment="1">
      <alignment horizontal="left" vertical="center" wrapText="1"/>
    </xf>
    <xf numFmtId="167" fontId="7" fillId="0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left" vertical="center" wrapText="1"/>
    </xf>
    <xf numFmtId="167" fontId="7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167" fontId="4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167" fontId="2" fillId="0" borderId="13" xfId="0" applyNumberFormat="1" applyFont="1" applyFill="1" applyBorder="1" applyAlignment="1">
      <alignment horizontal="center" vertical="center" wrapText="1"/>
    </xf>
    <xf numFmtId="167" fontId="2" fillId="0" borderId="14" xfId="0" applyNumberFormat="1" applyFont="1" applyFill="1" applyBorder="1" applyAlignment="1">
      <alignment horizontal="center" vertical="center" wrapText="1"/>
    </xf>
    <xf numFmtId="167" fontId="2" fillId="0" borderId="15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8" xfId="0" applyNumberFormat="1" applyFont="1" applyFill="1" applyBorder="1" applyAlignment="1">
      <alignment horizontal="center" vertical="center" wrapText="1"/>
    </xf>
    <xf numFmtId="167" fontId="4" fillId="0" borderId="9" xfId="0" applyNumberFormat="1" applyFont="1" applyFill="1" applyBorder="1" applyAlignment="1">
      <alignment horizontal="center" vertical="center" wrapText="1"/>
    </xf>
    <xf numFmtId="167" fontId="4" fillId="0" borderId="10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67" fontId="4" fillId="0" borderId="11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 wrapText="1"/>
    </xf>
    <xf numFmtId="167" fontId="4" fillId="0" borderId="1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/>
    </xf>
    <xf numFmtId="167" fontId="6" fillId="0" borderId="5" xfId="0" applyNumberFormat="1" applyFont="1" applyFill="1" applyBorder="1" applyAlignment="1">
      <alignment horizontal="center" vertical="center"/>
    </xf>
    <xf numFmtId="167" fontId="6" fillId="0" borderId="6" xfId="0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15"/>
  <sheetViews>
    <sheetView showZeros="0" tabSelected="1" view="pageBreakPreview" topLeftCell="A4" zoomScale="60" zoomScaleNormal="60" workbookViewId="0">
      <pane ySplit="3" topLeftCell="A7" activePane="bottomLeft" state="frozen"/>
      <selection activeCell="A4" sqref="A4"/>
      <selection pane="bottomLeft" activeCell="E63" sqref="E63"/>
    </sheetView>
  </sheetViews>
  <sheetFormatPr defaultRowHeight="18.75" x14ac:dyDescent="0.25"/>
  <cols>
    <col min="1" max="1" width="10.5703125" style="1" customWidth="1"/>
    <col min="2" max="2" width="42.28515625" style="2" customWidth="1"/>
    <col min="3" max="3" width="39.5703125" style="2" customWidth="1"/>
    <col min="4" max="4" width="22.28515625" style="2" customWidth="1"/>
    <col min="5" max="5" width="24.85546875" style="14" customWidth="1"/>
    <col min="6" max="6" width="21.42578125" style="4" customWidth="1"/>
    <col min="7" max="7" width="22.140625" style="58" customWidth="1"/>
    <col min="8" max="8" width="22.42578125" style="34" customWidth="1"/>
    <col min="9" max="9" width="23.28515625" style="34" customWidth="1"/>
    <col min="10" max="10" width="22" style="34" customWidth="1"/>
    <col min="11" max="11" width="21.140625" style="34" customWidth="1"/>
    <col min="12" max="12" width="24.42578125" style="35" customWidth="1"/>
    <col min="13" max="13" width="33.7109375" style="3" customWidth="1"/>
    <col min="14" max="14" width="24.140625" style="3" customWidth="1"/>
    <col min="15" max="15" width="24.85546875" style="3" customWidth="1"/>
    <col min="16" max="16" width="23.42578125" style="3" customWidth="1"/>
    <col min="17" max="17" width="24.140625" style="3" customWidth="1"/>
    <col min="18" max="18" width="26.85546875" style="3" customWidth="1"/>
    <col min="19" max="19" width="23.5703125" style="3" customWidth="1"/>
    <col min="20" max="20" width="27.7109375" style="3" customWidth="1"/>
    <col min="21" max="21" width="37.28515625" style="3" customWidth="1"/>
    <col min="22" max="16384" width="9.140625" style="3"/>
  </cols>
  <sheetData>
    <row r="1" spans="1:16" ht="26.25" customHeight="1" x14ac:dyDescent="0.25">
      <c r="G1" s="34"/>
      <c r="L1" s="35" t="s">
        <v>7</v>
      </c>
    </row>
    <row r="2" spans="1:16" ht="26.25" customHeight="1" x14ac:dyDescent="0.25">
      <c r="A2" s="99" t="s">
        <v>29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6" ht="11.25" customHeight="1" x14ac:dyDescent="0.25">
      <c r="F3" s="101"/>
      <c r="G3" s="101"/>
    </row>
    <row r="4" spans="1:16" ht="29.25" customHeight="1" x14ac:dyDescent="0.25">
      <c r="A4" s="100" t="s">
        <v>0</v>
      </c>
      <c r="B4" s="104" t="s">
        <v>17</v>
      </c>
      <c r="C4" s="104" t="s">
        <v>8</v>
      </c>
      <c r="D4" s="104" t="s">
        <v>12</v>
      </c>
      <c r="E4" s="102" t="s">
        <v>1</v>
      </c>
      <c r="F4" s="102"/>
      <c r="G4" s="102"/>
      <c r="H4" s="102"/>
      <c r="I4" s="102"/>
      <c r="J4" s="102"/>
      <c r="K4" s="102"/>
      <c r="L4" s="102"/>
    </row>
    <row r="5" spans="1:16" ht="20.25" customHeight="1" x14ac:dyDescent="0.25">
      <c r="A5" s="100"/>
      <c r="B5" s="104"/>
      <c r="C5" s="104"/>
      <c r="D5" s="104"/>
      <c r="E5" s="106" t="s">
        <v>2</v>
      </c>
      <c r="F5" s="103"/>
      <c r="G5" s="103"/>
      <c r="H5" s="103"/>
      <c r="I5" s="103"/>
      <c r="J5" s="103"/>
      <c r="K5" s="103"/>
      <c r="L5" s="103"/>
    </row>
    <row r="6" spans="1:16" ht="24.75" customHeight="1" x14ac:dyDescent="0.25">
      <c r="A6" s="100"/>
      <c r="B6" s="104"/>
      <c r="C6" s="104"/>
      <c r="D6" s="104"/>
      <c r="E6" s="106"/>
      <c r="F6" s="7" t="s">
        <v>3</v>
      </c>
      <c r="G6" s="36" t="s">
        <v>4</v>
      </c>
      <c r="H6" s="36" t="s">
        <v>41</v>
      </c>
      <c r="I6" s="36" t="s">
        <v>42</v>
      </c>
      <c r="J6" s="36" t="s">
        <v>43</v>
      </c>
      <c r="K6" s="36" t="s">
        <v>44</v>
      </c>
      <c r="L6" s="36" t="s">
        <v>45</v>
      </c>
      <c r="N6" s="39"/>
      <c r="O6" s="39"/>
      <c r="P6" s="39"/>
    </row>
    <row r="7" spans="1:16" s="6" customFormat="1" ht="23.25" customHeight="1" x14ac:dyDescent="0.25">
      <c r="A7" s="105" t="s">
        <v>21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</row>
    <row r="8" spans="1:16" ht="36" customHeight="1" x14ac:dyDescent="0.25">
      <c r="A8" s="100" t="s">
        <v>31</v>
      </c>
      <c r="B8" s="80" t="s">
        <v>67</v>
      </c>
      <c r="C8" s="104" t="s">
        <v>19</v>
      </c>
      <c r="D8" s="8" t="s">
        <v>2</v>
      </c>
      <c r="E8" s="45">
        <f>E9+E10+E11+E12+E14</f>
        <v>797586.34407999995</v>
      </c>
      <c r="F8" s="42">
        <f t="shared" ref="F8:L8" si="0">F9+F10+F11+F12+F14</f>
        <v>43765.020540000005</v>
      </c>
      <c r="G8" s="45">
        <f t="shared" si="0"/>
        <v>5134.7755400000005</v>
      </c>
      <c r="H8" s="45">
        <f t="shared" si="0"/>
        <v>51070</v>
      </c>
      <c r="I8" s="45">
        <f t="shared" si="0"/>
        <v>482300</v>
      </c>
      <c r="J8" s="45">
        <f t="shared" si="0"/>
        <v>48551.5</v>
      </c>
      <c r="K8" s="45">
        <f t="shared" si="0"/>
        <v>149465.04800000001</v>
      </c>
      <c r="L8" s="45">
        <f t="shared" si="0"/>
        <v>17300</v>
      </c>
    </row>
    <row r="9" spans="1:16" ht="39" customHeight="1" x14ac:dyDescent="0.25">
      <c r="A9" s="100"/>
      <c r="B9" s="80"/>
      <c r="C9" s="104"/>
      <c r="D9" s="9" t="s">
        <v>14</v>
      </c>
      <c r="E9" s="46">
        <f>F9+G9+H9+I9+J9+K9+L9</f>
        <v>0</v>
      </c>
      <c r="F9" s="31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</row>
    <row r="10" spans="1:16" ht="28.5" customHeight="1" x14ac:dyDescent="0.25">
      <c r="A10" s="100"/>
      <c r="B10" s="80"/>
      <c r="C10" s="104"/>
      <c r="D10" s="9" t="s">
        <v>5</v>
      </c>
      <c r="E10" s="46">
        <f>F10+G10+H10+I10+J10+K10+L10</f>
        <v>0</v>
      </c>
      <c r="F10" s="31">
        <v>0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</row>
    <row r="11" spans="1:16" ht="27.75" customHeight="1" x14ac:dyDescent="0.25">
      <c r="A11" s="100"/>
      <c r="B11" s="80"/>
      <c r="C11" s="104"/>
      <c r="D11" s="9" t="s">
        <v>6</v>
      </c>
      <c r="E11" s="46">
        <f t="shared" ref="E11:E13" si="1">F11+G11+H11+I11+J11+K11+L11</f>
        <v>59869.796080000007</v>
      </c>
      <c r="F11" s="31">
        <f>106222.73-4700+3180+3234.676+174.3+10865.4+10475.75+563.02688-5000-2000-9960-1000-54494.3-38.99372-5775-4531.13-3360.1376-5.397-85.90402</f>
        <v>43765.020540000005</v>
      </c>
      <c r="G11" s="46">
        <f>20000+3234+293-15174.77779-501.86112-3255.58555+540</f>
        <v>5134.7755400000005</v>
      </c>
      <c r="H11" s="54">
        <f>2000+2070</f>
        <v>4070</v>
      </c>
      <c r="I11" s="46">
        <v>0</v>
      </c>
      <c r="J11" s="46">
        <v>2300</v>
      </c>
      <c r="K11" s="46">
        <v>2300</v>
      </c>
      <c r="L11" s="46">
        <v>2300</v>
      </c>
      <c r="M11" s="10"/>
    </row>
    <row r="12" spans="1:16" ht="46.5" customHeight="1" x14ac:dyDescent="0.25">
      <c r="A12" s="100"/>
      <c r="B12" s="80"/>
      <c r="C12" s="104"/>
      <c r="D12" s="9" t="s">
        <v>13</v>
      </c>
      <c r="E12" s="46">
        <f t="shared" si="1"/>
        <v>0</v>
      </c>
      <c r="F12" s="31">
        <v>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30"/>
    </row>
    <row r="13" spans="1:16" ht="32.25" customHeight="1" x14ac:dyDescent="0.25">
      <c r="A13" s="100"/>
      <c r="B13" s="80"/>
      <c r="C13" s="104"/>
      <c r="D13" s="9" t="s">
        <v>30</v>
      </c>
      <c r="E13" s="46">
        <f t="shared" si="1"/>
        <v>0</v>
      </c>
      <c r="F13" s="31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</row>
    <row r="14" spans="1:16" ht="41.25" customHeight="1" x14ac:dyDescent="0.25">
      <c r="A14" s="100"/>
      <c r="B14" s="80"/>
      <c r="C14" s="104"/>
      <c r="D14" s="9" t="s">
        <v>15</v>
      </c>
      <c r="E14" s="46">
        <f>F14+G14+H14+I14+J14+K14+L14</f>
        <v>737716.54799999995</v>
      </c>
      <c r="F14" s="31">
        <f>201683.218+17960-8000+12673.14-3000-159602.81-61713.548</f>
        <v>0</v>
      </c>
      <c r="G14" s="46">
        <v>0</v>
      </c>
      <c r="H14" s="46">
        <f>20000+25000+2000</f>
        <v>47000</v>
      </c>
      <c r="I14" s="46">
        <f>300000+180000+2300</f>
        <v>482300</v>
      </c>
      <c r="J14" s="46">
        <f>26751.5+4500+15000</f>
        <v>46251.5</v>
      </c>
      <c r="K14" s="46">
        <f>100+15000+25313.548+80000+26751.5</f>
        <v>147165.04800000001</v>
      </c>
      <c r="L14" s="46">
        <v>15000</v>
      </c>
      <c r="M14" s="11"/>
    </row>
    <row r="15" spans="1:16" ht="35.25" customHeight="1" x14ac:dyDescent="0.25">
      <c r="A15" s="90" t="s">
        <v>32</v>
      </c>
      <c r="B15" s="91" t="s">
        <v>47</v>
      </c>
      <c r="C15" s="81" t="s">
        <v>46</v>
      </c>
      <c r="D15" s="12" t="s">
        <v>2</v>
      </c>
      <c r="E15" s="45">
        <f>E16+E17+E18+E19+E21</f>
        <v>1741892.2377499999</v>
      </c>
      <c r="F15" s="42">
        <f t="shared" ref="F15:L15" si="2">F16+F17+F18+F19+F21</f>
        <v>93687.880009999993</v>
      </c>
      <c r="G15" s="45">
        <f t="shared" si="2"/>
        <v>86433.799599999998</v>
      </c>
      <c r="H15" s="45">
        <f t="shared" si="2"/>
        <v>152095.61000000002</v>
      </c>
      <c r="I15" s="45">
        <f t="shared" si="2"/>
        <v>125154.65259</v>
      </c>
      <c r="J15" s="45">
        <f t="shared" si="2"/>
        <v>123580.27759000001</v>
      </c>
      <c r="K15" s="45">
        <f t="shared" si="2"/>
        <v>166340.75796000002</v>
      </c>
      <c r="L15" s="45">
        <f t="shared" si="2"/>
        <v>994599.26</v>
      </c>
    </row>
    <row r="16" spans="1:16" ht="29.25" customHeight="1" x14ac:dyDescent="0.25">
      <c r="A16" s="90"/>
      <c r="B16" s="91"/>
      <c r="C16" s="81"/>
      <c r="D16" s="13" t="s">
        <v>14</v>
      </c>
      <c r="E16" s="46">
        <f>F16+G16+H16+I16+J16+K16+L16</f>
        <v>0</v>
      </c>
      <c r="F16" s="31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14"/>
    </row>
    <row r="17" spans="1:13" ht="44.25" customHeight="1" x14ac:dyDescent="0.25">
      <c r="A17" s="90"/>
      <c r="B17" s="91"/>
      <c r="C17" s="81"/>
      <c r="D17" s="13" t="s">
        <v>5</v>
      </c>
      <c r="E17" s="46">
        <f t="shared" ref="E17:E21" si="3">F17+G17+H17+I17+J17+K17+L17</f>
        <v>43947.199999999997</v>
      </c>
      <c r="F17" s="31">
        <f>3731.4+809.3-1080.5+304.4</f>
        <v>3764.6</v>
      </c>
      <c r="G17" s="46">
        <f>4385.2+3286.8</f>
        <v>7672</v>
      </c>
      <c r="H17" s="46">
        <v>6143.5</v>
      </c>
      <c r="I17" s="46">
        <v>3477.4</v>
      </c>
      <c r="J17" s="46">
        <v>2217.9</v>
      </c>
      <c r="K17" s="46">
        <v>3445.3</v>
      </c>
      <c r="L17" s="46">
        <v>17226.5</v>
      </c>
      <c r="M17" s="14"/>
    </row>
    <row r="18" spans="1:13" ht="39.75" customHeight="1" x14ac:dyDescent="0.25">
      <c r="A18" s="90"/>
      <c r="B18" s="91"/>
      <c r="C18" s="81"/>
      <c r="D18" s="13" t="s">
        <v>6</v>
      </c>
      <c r="E18" s="46">
        <f t="shared" si="3"/>
        <v>861336.71412999998</v>
      </c>
      <c r="F18" s="31">
        <f>78102.58317-7578.02924+5000+2000+231.4555+5775+4531.13+160.85934+1014.06992+236.222+85.90402+227.27798</f>
        <v>89786.472689999981</v>
      </c>
      <c r="G18" s="46">
        <f>57975.69385+787.00321+281+273+4000+12006+2084.14696-1300+3850-2182.25555</f>
        <v>77774.588470000002</v>
      </c>
      <c r="H18" s="46">
        <f>34689.9126</f>
        <v>34689.912600000003</v>
      </c>
      <c r="I18" s="46">
        <v>4351.1499999999996</v>
      </c>
      <c r="J18" s="46">
        <v>45500.375</v>
      </c>
      <c r="K18" s="46">
        <v>87033.455369999996</v>
      </c>
      <c r="L18" s="46">
        <v>522200.76</v>
      </c>
      <c r="M18" s="14"/>
    </row>
    <row r="19" spans="1:13" ht="48" customHeight="1" x14ac:dyDescent="0.25">
      <c r="A19" s="90"/>
      <c r="B19" s="91"/>
      <c r="C19" s="81"/>
      <c r="D19" s="13" t="s">
        <v>13</v>
      </c>
      <c r="E19" s="46">
        <f t="shared" si="3"/>
        <v>1124.01845</v>
      </c>
      <c r="F19" s="31">
        <f>108.36778+28.43954</f>
        <v>136.80732</v>
      </c>
      <c r="G19" s="46">
        <f>41.68294+262.22278+534.39859+116.89922-0.07973+32.08733</f>
        <v>987.21112999999991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</row>
    <row r="20" spans="1:13" ht="33" customHeight="1" x14ac:dyDescent="0.25">
      <c r="A20" s="90"/>
      <c r="B20" s="91"/>
      <c r="C20" s="81"/>
      <c r="D20" s="13" t="s">
        <v>30</v>
      </c>
      <c r="E20" s="46">
        <f t="shared" si="3"/>
        <v>0</v>
      </c>
      <c r="F20" s="31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19"/>
    </row>
    <row r="21" spans="1:13" ht="34.5" customHeight="1" x14ac:dyDescent="0.25">
      <c r="A21" s="90"/>
      <c r="B21" s="91"/>
      <c r="C21" s="81"/>
      <c r="D21" s="13" t="s">
        <v>15</v>
      </c>
      <c r="E21" s="46">
        <f t="shared" si="3"/>
        <v>835484.30517000007</v>
      </c>
      <c r="F21" s="31">
        <f>83381.93479-809.3+1080.5-83653.13479</f>
        <v>0</v>
      </c>
      <c r="G21" s="46">
        <f>97092.79385-93242.79385-3850</f>
        <v>0</v>
      </c>
      <c r="H21" s="44">
        <v>111262.1974</v>
      </c>
      <c r="I21" s="44">
        <v>117326.10258999999</v>
      </c>
      <c r="J21" s="46">
        <v>75862.002590000004</v>
      </c>
      <c r="K21" s="46">
        <v>75862.002590000004</v>
      </c>
      <c r="L21" s="46">
        <v>455172</v>
      </c>
    </row>
    <row r="22" spans="1:13" ht="30" customHeight="1" x14ac:dyDescent="0.25">
      <c r="A22" s="72" t="s">
        <v>74</v>
      </c>
      <c r="B22" s="116" t="s">
        <v>75</v>
      </c>
      <c r="C22" s="72" t="s">
        <v>18</v>
      </c>
      <c r="D22" s="15" t="s">
        <v>2</v>
      </c>
      <c r="E22" s="43">
        <f>E23+E24+E25+E26+E28</f>
        <v>448924.99529999995</v>
      </c>
      <c r="F22" s="40">
        <f t="shared" ref="F22:L22" si="4">F23+F24+F25+F26+F28</f>
        <v>37274.704369999999</v>
      </c>
      <c r="G22" s="43">
        <f t="shared" si="4"/>
        <v>33817.763449999999</v>
      </c>
      <c r="H22" s="43">
        <f t="shared" si="4"/>
        <v>38087.41979</v>
      </c>
      <c r="I22" s="43">
        <f t="shared" si="4"/>
        <v>37749.456409999999</v>
      </c>
      <c r="J22" s="43">
        <f t="shared" si="4"/>
        <v>37749.456409999999</v>
      </c>
      <c r="K22" s="43">
        <f t="shared" si="4"/>
        <v>37749.456409999999</v>
      </c>
      <c r="L22" s="43">
        <f t="shared" si="4"/>
        <v>226496.73845999999</v>
      </c>
    </row>
    <row r="23" spans="1:13" ht="32.25" customHeight="1" x14ac:dyDescent="0.25">
      <c r="A23" s="72"/>
      <c r="B23" s="116"/>
      <c r="C23" s="72"/>
      <c r="D23" s="16" t="s">
        <v>14</v>
      </c>
      <c r="E23" s="44">
        <f>F23+G23+H23+I23+J23+K23+L23</f>
        <v>0</v>
      </c>
      <c r="F23" s="41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</row>
    <row r="24" spans="1:13" ht="27" customHeight="1" x14ac:dyDescent="0.25">
      <c r="A24" s="72"/>
      <c r="B24" s="116"/>
      <c r="C24" s="72"/>
      <c r="D24" s="16" t="s">
        <v>5</v>
      </c>
      <c r="E24" s="44">
        <f t="shared" ref="E24:E28" si="5">F24+G24+H24+I24+J24+K24+L24</f>
        <v>0</v>
      </c>
      <c r="F24" s="41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</row>
    <row r="25" spans="1:13" ht="33" customHeight="1" x14ac:dyDescent="0.25">
      <c r="A25" s="72"/>
      <c r="B25" s="116"/>
      <c r="C25" s="72"/>
      <c r="D25" s="16" t="s">
        <v>6</v>
      </c>
      <c r="E25" s="44">
        <f>F25+G25+H25+I25+J25+K25+L25</f>
        <v>419871.12844999996</v>
      </c>
      <c r="F25" s="41">
        <f>34288.95966-2216.07345+2454.69798-670.762+2216.07345+719.60873+493-4.8-6</f>
        <v>37274.704369999999</v>
      </c>
      <c r="G25" s="44">
        <f>37655.39245+914-3000-1.99-(974.81732+363.82168)-411</f>
        <v>33817.763449999999</v>
      </c>
      <c r="H25" s="44">
        <f>32982.06679</f>
        <v>32982.066789999997</v>
      </c>
      <c r="I25" s="44">
        <f>15756.46256</f>
        <v>15756.46256</v>
      </c>
      <c r="J25" s="44">
        <f>35793.93641</f>
        <v>35793.936410000002</v>
      </c>
      <c r="K25" s="44">
        <v>37749.456409999999</v>
      </c>
      <c r="L25" s="44">
        <f>K25*6</f>
        <v>226496.73845999999</v>
      </c>
      <c r="M25" s="17"/>
    </row>
    <row r="26" spans="1:13" ht="46.5" customHeight="1" x14ac:dyDescent="0.25">
      <c r="A26" s="72"/>
      <c r="B26" s="116"/>
      <c r="C26" s="72"/>
      <c r="D26" s="16" t="s">
        <v>13</v>
      </c>
      <c r="E26" s="44">
        <f t="shared" si="5"/>
        <v>0</v>
      </c>
      <c r="F26" s="41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</row>
    <row r="27" spans="1:13" ht="28.5" customHeight="1" x14ac:dyDescent="0.25">
      <c r="A27" s="72"/>
      <c r="B27" s="116"/>
      <c r="C27" s="72"/>
      <c r="D27" s="16" t="s">
        <v>30</v>
      </c>
      <c r="E27" s="44">
        <f t="shared" si="5"/>
        <v>0</v>
      </c>
      <c r="F27" s="41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</row>
    <row r="28" spans="1:13" ht="19.5" customHeight="1" x14ac:dyDescent="0.25">
      <c r="A28" s="72"/>
      <c r="B28" s="116"/>
      <c r="C28" s="72"/>
      <c r="D28" s="16" t="s">
        <v>15</v>
      </c>
      <c r="E28" s="44">
        <f t="shared" si="5"/>
        <v>29053.866849999999</v>
      </c>
      <c r="F28" s="41"/>
      <c r="G28" s="44">
        <f>2055-1141-914</f>
        <v>0</v>
      </c>
      <c r="H28" s="44">
        <v>5105.3530000000001</v>
      </c>
      <c r="I28" s="44">
        <v>21992.993849999999</v>
      </c>
      <c r="J28" s="44">
        <v>1955.52</v>
      </c>
      <c r="K28" s="44">
        <v>0</v>
      </c>
      <c r="L28" s="44">
        <v>0</v>
      </c>
    </row>
    <row r="29" spans="1:13" ht="22.5" customHeight="1" x14ac:dyDescent="0.25">
      <c r="A29" s="72"/>
      <c r="B29" s="116"/>
      <c r="C29" s="118" t="s">
        <v>19</v>
      </c>
      <c r="D29" s="15" t="s">
        <v>2</v>
      </c>
      <c r="E29" s="43">
        <f>E30+E31+E32+E33+E35</f>
        <v>922368.12373999995</v>
      </c>
      <c r="F29" s="40">
        <f t="shared" ref="F29:L29" si="6">F30+F31+F32+F33+F35</f>
        <v>69132.412110000019</v>
      </c>
      <c r="G29" s="43">
        <f t="shared" si="6"/>
        <v>74690.922489999997</v>
      </c>
      <c r="H29" s="43">
        <f t="shared" si="6"/>
        <v>97311.187139999995</v>
      </c>
      <c r="I29" s="43">
        <f t="shared" si="6"/>
        <v>76656.744000000006</v>
      </c>
      <c r="J29" s="43">
        <f t="shared" si="6"/>
        <v>78843.043999999994</v>
      </c>
      <c r="K29" s="43">
        <f t="shared" si="6"/>
        <v>78382.093999999997</v>
      </c>
      <c r="L29" s="43">
        <f t="shared" si="6"/>
        <v>447351.72</v>
      </c>
    </row>
    <row r="30" spans="1:13" ht="37.5" customHeight="1" x14ac:dyDescent="0.25">
      <c r="A30" s="72"/>
      <c r="B30" s="116"/>
      <c r="C30" s="118"/>
      <c r="D30" s="16" t="s">
        <v>14</v>
      </c>
      <c r="E30" s="44">
        <f>F30+G30+H30+I30+J30+K30+L30</f>
        <v>0</v>
      </c>
      <c r="F30" s="41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</row>
    <row r="31" spans="1:13" ht="27.75" customHeight="1" x14ac:dyDescent="0.25">
      <c r="A31" s="72"/>
      <c r="B31" s="116"/>
      <c r="C31" s="118"/>
      <c r="D31" s="16" t="s">
        <v>5</v>
      </c>
      <c r="E31" s="44">
        <f t="shared" ref="E31:E35" si="7">F31+G31+H31+I31+J31+K31+L31</f>
        <v>0</v>
      </c>
      <c r="F31" s="41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</row>
    <row r="32" spans="1:13" ht="23.25" customHeight="1" x14ac:dyDescent="0.25">
      <c r="A32" s="72"/>
      <c r="B32" s="116"/>
      <c r="C32" s="118"/>
      <c r="D32" s="16" t="s">
        <v>28</v>
      </c>
      <c r="E32" s="44">
        <f t="shared" si="7"/>
        <v>743964.08049999992</v>
      </c>
      <c r="F32" s="47">
        <f>62846.82337-1274.48287-3705.7772+11711.80002-1590+4980.26005+247-160.85934-236.222-1014.06992-141.12-2530.94</f>
        <v>69132.412110000019</v>
      </c>
      <c r="G32" s="44">
        <f>74833.58613-3234+4703-293-100+34.06211-304.26165+1800+1000-1290.9161-540-855.75-1000-61.798</f>
        <v>74690.922489999997</v>
      </c>
      <c r="H32" s="44">
        <f>68780.87729-5130.13798</f>
        <v>63650.739310000004</v>
      </c>
      <c r="I32" s="44">
        <v>31105.8</v>
      </c>
      <c r="J32" s="44">
        <v>62321.636590000002</v>
      </c>
      <c r="K32" s="44">
        <v>65981.649999999994</v>
      </c>
      <c r="L32" s="44">
        <v>377080.92</v>
      </c>
      <c r="M32" s="18"/>
    </row>
    <row r="33" spans="1:13" ht="45" customHeight="1" x14ac:dyDescent="0.25">
      <c r="A33" s="72"/>
      <c r="B33" s="116"/>
      <c r="C33" s="118"/>
      <c r="D33" s="16" t="s">
        <v>13</v>
      </c>
      <c r="E33" s="44">
        <f t="shared" si="7"/>
        <v>0</v>
      </c>
      <c r="F33" s="41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</row>
    <row r="34" spans="1:13" ht="29.25" customHeight="1" x14ac:dyDescent="0.25">
      <c r="A34" s="72"/>
      <c r="B34" s="116"/>
      <c r="C34" s="118"/>
      <c r="D34" s="16" t="s">
        <v>30</v>
      </c>
      <c r="E34" s="44">
        <f t="shared" si="7"/>
        <v>0</v>
      </c>
      <c r="F34" s="41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</row>
    <row r="35" spans="1:13" ht="26.25" customHeight="1" x14ac:dyDescent="0.25">
      <c r="A35" s="72"/>
      <c r="B35" s="116"/>
      <c r="C35" s="118"/>
      <c r="D35" s="16" t="s">
        <v>15</v>
      </c>
      <c r="E35" s="44">
        <f t="shared" si="7"/>
        <v>178404.04324000003</v>
      </c>
      <c r="F35" s="41">
        <v>0</v>
      </c>
      <c r="G35" s="44">
        <f>2969-1469+393-1893</f>
        <v>0</v>
      </c>
      <c r="H35" s="44">
        <v>33660.447829999997</v>
      </c>
      <c r="I35" s="44">
        <v>45550.944000000003</v>
      </c>
      <c r="J35" s="44">
        <v>16521.40741</v>
      </c>
      <c r="K35" s="44">
        <v>12400.444</v>
      </c>
      <c r="L35" s="44">
        <v>70270.8</v>
      </c>
      <c r="M35" s="19"/>
    </row>
    <row r="36" spans="1:13" ht="21" customHeight="1" x14ac:dyDescent="0.25">
      <c r="A36" s="72" t="s">
        <v>33</v>
      </c>
      <c r="B36" s="96" t="s">
        <v>48</v>
      </c>
      <c r="C36" s="72" t="s">
        <v>18</v>
      </c>
      <c r="D36" s="15" t="s">
        <v>2</v>
      </c>
      <c r="E36" s="43">
        <f>E37+E38+E39+E40+E42</f>
        <v>2291.2999999999997</v>
      </c>
      <c r="F36" s="40">
        <f t="shared" ref="F36:L36" si="8">F37+F38+F39+F40+F42</f>
        <v>393.5</v>
      </c>
      <c r="G36" s="43">
        <f t="shared" si="8"/>
        <v>1369.2</v>
      </c>
      <c r="H36" s="43">
        <f t="shared" si="8"/>
        <v>133</v>
      </c>
      <c r="I36" s="43">
        <f t="shared" si="8"/>
        <v>233</v>
      </c>
      <c r="J36" s="43">
        <f t="shared" si="8"/>
        <v>82</v>
      </c>
      <c r="K36" s="43">
        <f t="shared" si="8"/>
        <v>80.599999999999994</v>
      </c>
      <c r="L36" s="43">
        <f t="shared" si="8"/>
        <v>0</v>
      </c>
    </row>
    <row r="37" spans="1:13" ht="23.25" customHeight="1" x14ac:dyDescent="0.25">
      <c r="A37" s="72"/>
      <c r="B37" s="96"/>
      <c r="C37" s="72"/>
      <c r="D37" s="16" t="s">
        <v>14</v>
      </c>
      <c r="E37" s="44">
        <f>F37+G37+H37+I37+J37+K37+L37</f>
        <v>0</v>
      </c>
      <c r="F37" s="41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</row>
    <row r="38" spans="1:13" ht="37.5" customHeight="1" x14ac:dyDescent="0.25">
      <c r="A38" s="72"/>
      <c r="B38" s="96"/>
      <c r="C38" s="72"/>
      <c r="D38" s="16" t="s">
        <v>5</v>
      </c>
      <c r="E38" s="44">
        <f t="shared" ref="E38:E42" si="9">F38+G38+H38+I38+J38+K38+L38</f>
        <v>0</v>
      </c>
      <c r="F38" s="41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</row>
    <row r="39" spans="1:13" ht="22.5" customHeight="1" x14ac:dyDescent="0.25">
      <c r="A39" s="72"/>
      <c r="B39" s="96"/>
      <c r="C39" s="72"/>
      <c r="D39" s="16" t="s">
        <v>6</v>
      </c>
      <c r="E39" s="44">
        <f t="shared" si="9"/>
        <v>2291.2999999999997</v>
      </c>
      <c r="F39" s="41">
        <f>560.5-167</f>
        <v>393.5</v>
      </c>
      <c r="G39" s="44">
        <v>1369.2</v>
      </c>
      <c r="H39" s="44">
        <v>133</v>
      </c>
      <c r="I39" s="44">
        <v>233</v>
      </c>
      <c r="J39" s="44">
        <v>82</v>
      </c>
      <c r="K39" s="44">
        <v>80.599999999999994</v>
      </c>
      <c r="L39" s="44">
        <v>0</v>
      </c>
    </row>
    <row r="40" spans="1:13" ht="45" customHeight="1" x14ac:dyDescent="0.25">
      <c r="A40" s="72"/>
      <c r="B40" s="96"/>
      <c r="C40" s="72"/>
      <c r="D40" s="16" t="s">
        <v>13</v>
      </c>
      <c r="E40" s="44">
        <f t="shared" si="9"/>
        <v>0</v>
      </c>
      <c r="F40" s="41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</row>
    <row r="41" spans="1:13" ht="22.5" customHeight="1" x14ac:dyDescent="0.25">
      <c r="A41" s="72"/>
      <c r="B41" s="96"/>
      <c r="C41" s="72"/>
      <c r="D41" s="16" t="s">
        <v>30</v>
      </c>
      <c r="E41" s="44">
        <f t="shared" si="9"/>
        <v>0</v>
      </c>
      <c r="F41" s="41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</row>
    <row r="42" spans="1:13" ht="27.75" customHeight="1" x14ac:dyDescent="0.25">
      <c r="A42" s="72"/>
      <c r="B42" s="96"/>
      <c r="C42" s="72"/>
      <c r="D42" s="16" t="s">
        <v>15</v>
      </c>
      <c r="E42" s="44">
        <f t="shared" si="9"/>
        <v>0</v>
      </c>
      <c r="F42" s="41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</row>
    <row r="43" spans="1:13" s="32" customFormat="1" ht="27.75" customHeight="1" x14ac:dyDescent="0.25">
      <c r="A43" s="63" t="s">
        <v>90</v>
      </c>
      <c r="B43" s="66" t="s">
        <v>93</v>
      </c>
      <c r="C43" s="63" t="s">
        <v>91</v>
      </c>
      <c r="D43" s="15" t="s">
        <v>2</v>
      </c>
      <c r="E43" s="43">
        <f>E44+E45+E46+E47+E49</f>
        <v>0</v>
      </c>
      <c r="F43" s="43">
        <f t="shared" ref="F43:L43" si="10">F44+F45+F46+F47+F49</f>
        <v>0</v>
      </c>
      <c r="G43" s="43">
        <f t="shared" si="10"/>
        <v>0</v>
      </c>
      <c r="H43" s="43">
        <f t="shared" si="10"/>
        <v>0</v>
      </c>
      <c r="I43" s="43">
        <f t="shared" si="10"/>
        <v>0</v>
      </c>
      <c r="J43" s="43">
        <f t="shared" si="10"/>
        <v>0</v>
      </c>
      <c r="K43" s="43">
        <f t="shared" si="10"/>
        <v>0</v>
      </c>
      <c r="L43" s="43">
        <f t="shared" si="10"/>
        <v>0</v>
      </c>
    </row>
    <row r="44" spans="1:13" ht="27.75" customHeight="1" x14ac:dyDescent="0.25">
      <c r="A44" s="64"/>
      <c r="B44" s="67"/>
      <c r="C44" s="64"/>
      <c r="D44" s="16" t="s">
        <v>14</v>
      </c>
      <c r="E44" s="43">
        <v>0</v>
      </c>
      <c r="F44" s="41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</row>
    <row r="45" spans="1:13" ht="27.75" customHeight="1" x14ac:dyDescent="0.25">
      <c r="A45" s="64"/>
      <c r="B45" s="67"/>
      <c r="C45" s="64"/>
      <c r="D45" s="16" t="s">
        <v>5</v>
      </c>
      <c r="E45" s="43">
        <v>0</v>
      </c>
      <c r="F45" s="41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</row>
    <row r="46" spans="1:13" ht="27.75" customHeight="1" x14ac:dyDescent="0.25">
      <c r="A46" s="64"/>
      <c r="B46" s="67"/>
      <c r="C46" s="64"/>
      <c r="D46" s="16" t="s">
        <v>6</v>
      </c>
      <c r="E46" s="43">
        <v>0</v>
      </c>
      <c r="F46" s="41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</row>
    <row r="47" spans="1:13" ht="27.75" customHeight="1" x14ac:dyDescent="0.25">
      <c r="A47" s="64"/>
      <c r="B47" s="67"/>
      <c r="C47" s="64"/>
      <c r="D47" s="16" t="s">
        <v>13</v>
      </c>
      <c r="E47" s="43">
        <v>0</v>
      </c>
      <c r="F47" s="41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</row>
    <row r="48" spans="1:13" ht="27.75" customHeight="1" x14ac:dyDescent="0.25">
      <c r="A48" s="64"/>
      <c r="B48" s="67"/>
      <c r="C48" s="64"/>
      <c r="D48" s="16" t="s">
        <v>30</v>
      </c>
      <c r="E48" s="43">
        <v>0</v>
      </c>
      <c r="F48" s="41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</row>
    <row r="49" spans="1:14" ht="27.75" customHeight="1" x14ac:dyDescent="0.25">
      <c r="A49" s="65"/>
      <c r="B49" s="68"/>
      <c r="C49" s="65"/>
      <c r="D49" s="16" t="s">
        <v>15</v>
      </c>
      <c r="E49" s="43">
        <v>0</v>
      </c>
      <c r="F49" s="41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</row>
    <row r="50" spans="1:14" s="32" customFormat="1" ht="41.25" customHeight="1" x14ac:dyDescent="0.25">
      <c r="A50" s="63" t="s">
        <v>34</v>
      </c>
      <c r="B50" s="69" t="s">
        <v>92</v>
      </c>
      <c r="C50" s="72" t="s">
        <v>18</v>
      </c>
      <c r="D50" s="15" t="s">
        <v>2</v>
      </c>
      <c r="E50" s="43">
        <f>E51+E52+E53+E54+E56</f>
        <v>93061.745720000006</v>
      </c>
      <c r="F50" s="40">
        <f>F51+F52+F53+F54+F56</f>
        <v>59013.56</v>
      </c>
      <c r="G50" s="43">
        <f t="shared" ref="G50:L50" si="11">G51+G52+G53+G54+G56</f>
        <v>34048.185720000001</v>
      </c>
      <c r="H50" s="43">
        <f t="shared" si="11"/>
        <v>0</v>
      </c>
      <c r="I50" s="43">
        <f t="shared" si="11"/>
        <v>0</v>
      </c>
      <c r="J50" s="43">
        <f t="shared" si="11"/>
        <v>0</v>
      </c>
      <c r="K50" s="43">
        <f t="shared" si="11"/>
        <v>0</v>
      </c>
      <c r="L50" s="43">
        <f t="shared" si="11"/>
        <v>0</v>
      </c>
      <c r="N50" s="56"/>
    </row>
    <row r="51" spans="1:14" ht="21.75" customHeight="1" x14ac:dyDescent="0.25">
      <c r="A51" s="64"/>
      <c r="B51" s="70"/>
      <c r="C51" s="72"/>
      <c r="D51" s="16" t="s">
        <v>14</v>
      </c>
      <c r="E51" s="44">
        <f>F51+G51+H51+I51+J51+K51+L51</f>
        <v>0</v>
      </c>
      <c r="F51" s="41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N51" s="21"/>
    </row>
    <row r="52" spans="1:14" ht="27.75" customHeight="1" x14ac:dyDescent="0.25">
      <c r="A52" s="64"/>
      <c r="B52" s="70"/>
      <c r="C52" s="72"/>
      <c r="D52" s="16" t="s">
        <v>5</v>
      </c>
      <c r="E52" s="44">
        <f t="shared" ref="E52:E56" si="12">F52+G52+H52+I52+J52+K52+L52</f>
        <v>0</v>
      </c>
      <c r="F52" s="41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28"/>
      <c r="N52" s="21"/>
    </row>
    <row r="53" spans="1:14" ht="26.25" customHeight="1" x14ac:dyDescent="0.25">
      <c r="A53" s="64"/>
      <c r="B53" s="70"/>
      <c r="C53" s="72"/>
      <c r="D53" s="16" t="s">
        <v>6</v>
      </c>
      <c r="E53" s="44">
        <f t="shared" si="12"/>
        <v>93061.745720000006</v>
      </c>
      <c r="F53" s="41">
        <f>10000+25000+167+1590+22256.56</f>
        <v>59013.56</v>
      </c>
      <c r="G53" s="44">
        <f>25000+7500+24531.93-18328.46007-4655.28421</f>
        <v>34048.185720000001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N53" s="21"/>
    </row>
    <row r="54" spans="1:14" ht="41.25" customHeight="1" x14ac:dyDescent="0.25">
      <c r="A54" s="64"/>
      <c r="B54" s="70"/>
      <c r="C54" s="72"/>
      <c r="D54" s="16" t="s">
        <v>13</v>
      </c>
      <c r="E54" s="44">
        <f t="shared" si="12"/>
        <v>0</v>
      </c>
      <c r="F54" s="41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N54" s="21"/>
    </row>
    <row r="55" spans="1:14" ht="27.75" customHeight="1" x14ac:dyDescent="0.25">
      <c r="A55" s="64"/>
      <c r="B55" s="70"/>
      <c r="C55" s="72"/>
      <c r="D55" s="16" t="s">
        <v>30</v>
      </c>
      <c r="E55" s="44">
        <f t="shared" si="12"/>
        <v>0</v>
      </c>
      <c r="F55" s="41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N55" s="21"/>
    </row>
    <row r="56" spans="1:14" ht="26.25" customHeight="1" x14ac:dyDescent="0.25">
      <c r="A56" s="65"/>
      <c r="B56" s="71"/>
      <c r="C56" s="72"/>
      <c r="D56" s="16" t="s">
        <v>15</v>
      </c>
      <c r="E56" s="44">
        <f t="shared" si="12"/>
        <v>0</v>
      </c>
      <c r="F56" s="41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N56" s="21"/>
    </row>
    <row r="57" spans="1:14" s="32" customFormat="1" ht="28.5" customHeight="1" x14ac:dyDescent="0.25">
      <c r="A57" s="63" t="s">
        <v>73</v>
      </c>
      <c r="B57" s="76" t="s">
        <v>86</v>
      </c>
      <c r="C57" s="63" t="s">
        <v>18</v>
      </c>
      <c r="D57" s="15" t="s">
        <v>2</v>
      </c>
      <c r="E57" s="43">
        <f>E58+E59+E60+E61+E63</f>
        <v>93.47</v>
      </c>
      <c r="F57" s="40">
        <f t="shared" ref="F57:L57" si="13">F58+F59+F60+F61+F63</f>
        <v>4.83</v>
      </c>
      <c r="G57" s="43">
        <f t="shared" si="13"/>
        <v>4.83</v>
      </c>
      <c r="H57" s="43">
        <f>H58+H59+H60+H61+H63</f>
        <v>50</v>
      </c>
      <c r="I57" s="43">
        <f t="shared" si="13"/>
        <v>0</v>
      </c>
      <c r="J57" s="43">
        <f t="shared" si="13"/>
        <v>0</v>
      </c>
      <c r="K57" s="43">
        <f t="shared" si="13"/>
        <v>4.83</v>
      </c>
      <c r="L57" s="43">
        <f t="shared" si="13"/>
        <v>28.98</v>
      </c>
      <c r="N57" s="56"/>
    </row>
    <row r="58" spans="1:14" ht="28.5" customHeight="1" x14ac:dyDescent="0.25">
      <c r="A58" s="64"/>
      <c r="B58" s="77"/>
      <c r="C58" s="64"/>
      <c r="D58" s="16" t="s">
        <v>14</v>
      </c>
      <c r="E58" s="44">
        <f t="shared" ref="E58:E63" si="14">F58+G58+H58+I58+J58+K58+L58</f>
        <v>0</v>
      </c>
      <c r="F58" s="41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N58" s="21"/>
    </row>
    <row r="59" spans="1:14" ht="28.5" customHeight="1" x14ac:dyDescent="0.25">
      <c r="A59" s="64"/>
      <c r="B59" s="77"/>
      <c r="C59" s="64"/>
      <c r="D59" s="16" t="s">
        <v>5</v>
      </c>
      <c r="E59" s="44">
        <f t="shared" si="14"/>
        <v>0</v>
      </c>
      <c r="F59" s="41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N59" s="21"/>
    </row>
    <row r="60" spans="1:14" ht="28.5" customHeight="1" x14ac:dyDescent="0.25">
      <c r="A60" s="64"/>
      <c r="B60" s="77"/>
      <c r="C60" s="64"/>
      <c r="D60" s="16" t="s">
        <v>6</v>
      </c>
      <c r="E60" s="44">
        <f t="shared" si="14"/>
        <v>50</v>
      </c>
      <c r="F60" s="41">
        <v>0</v>
      </c>
      <c r="G60" s="44">
        <v>0</v>
      </c>
      <c r="H60" s="44">
        <v>50</v>
      </c>
      <c r="I60" s="44">
        <v>0</v>
      </c>
      <c r="J60" s="44">
        <v>0</v>
      </c>
      <c r="K60" s="44">
        <v>0</v>
      </c>
      <c r="L60" s="44">
        <v>0</v>
      </c>
      <c r="N60" s="21"/>
    </row>
    <row r="61" spans="1:14" ht="28.5" customHeight="1" x14ac:dyDescent="0.25">
      <c r="A61" s="64"/>
      <c r="B61" s="77"/>
      <c r="C61" s="64"/>
      <c r="D61" s="16" t="s">
        <v>13</v>
      </c>
      <c r="E61" s="44">
        <f t="shared" si="14"/>
        <v>0</v>
      </c>
      <c r="F61" s="41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N61" s="21"/>
    </row>
    <row r="62" spans="1:14" ht="31.5" customHeight="1" x14ac:dyDescent="0.25">
      <c r="A62" s="64"/>
      <c r="B62" s="77"/>
      <c r="C62" s="64"/>
      <c r="D62" s="16" t="s">
        <v>30</v>
      </c>
      <c r="E62" s="44">
        <f t="shared" si="14"/>
        <v>0</v>
      </c>
      <c r="F62" s="41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N62" s="21"/>
    </row>
    <row r="63" spans="1:14" ht="30" customHeight="1" x14ac:dyDescent="0.25">
      <c r="A63" s="65"/>
      <c r="B63" s="78"/>
      <c r="C63" s="65"/>
      <c r="D63" s="16" t="s">
        <v>15</v>
      </c>
      <c r="E63" s="44">
        <f t="shared" si="14"/>
        <v>43.47</v>
      </c>
      <c r="F63" s="41">
        <v>4.83</v>
      </c>
      <c r="G63" s="44">
        <v>4.83</v>
      </c>
      <c r="H63" s="44">
        <v>0</v>
      </c>
      <c r="I63" s="44">
        <v>0</v>
      </c>
      <c r="J63" s="44">
        <v>0</v>
      </c>
      <c r="K63" s="44">
        <v>4.83</v>
      </c>
      <c r="L63" s="44">
        <f>K63*6</f>
        <v>28.98</v>
      </c>
      <c r="N63" s="21"/>
    </row>
    <row r="64" spans="1:14" s="32" customFormat="1" ht="35.25" customHeight="1" x14ac:dyDescent="0.25">
      <c r="A64" s="63" t="s">
        <v>84</v>
      </c>
      <c r="B64" s="73" t="s">
        <v>85</v>
      </c>
      <c r="C64" s="63" t="s">
        <v>18</v>
      </c>
      <c r="D64" s="15" t="s">
        <v>2</v>
      </c>
      <c r="E64" s="43">
        <f>E65+E66+E67+E68+E70</f>
        <v>45985.074240000002</v>
      </c>
      <c r="F64" s="40">
        <f t="shared" ref="F64:L64" si="15">F65+F66+F67+F68+F70</f>
        <v>0</v>
      </c>
      <c r="G64" s="43">
        <f t="shared" si="15"/>
        <v>4179.9962400000004</v>
      </c>
      <c r="H64" s="43">
        <f t="shared" si="15"/>
        <v>4180.5078000000003</v>
      </c>
      <c r="I64" s="43">
        <f t="shared" si="15"/>
        <v>4180.5078000000003</v>
      </c>
      <c r="J64" s="43">
        <f t="shared" si="15"/>
        <v>4180.5078000000003</v>
      </c>
      <c r="K64" s="43">
        <f t="shared" si="15"/>
        <v>4180.5078000000003</v>
      </c>
      <c r="L64" s="43">
        <f t="shared" si="15"/>
        <v>25083.0468</v>
      </c>
    </row>
    <row r="65" spans="1:12" ht="36" customHeight="1" x14ac:dyDescent="0.25">
      <c r="A65" s="64"/>
      <c r="B65" s="74"/>
      <c r="C65" s="64"/>
      <c r="D65" s="16" t="s">
        <v>14</v>
      </c>
      <c r="E65" s="44">
        <v>0</v>
      </c>
      <c r="F65" s="41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</row>
    <row r="66" spans="1:12" ht="41.25" customHeight="1" x14ac:dyDescent="0.25">
      <c r="A66" s="64"/>
      <c r="B66" s="74"/>
      <c r="C66" s="64"/>
      <c r="D66" s="16" t="s">
        <v>5</v>
      </c>
      <c r="E66" s="44">
        <v>0</v>
      </c>
      <c r="F66" s="41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</row>
    <row r="67" spans="1:12" ht="36" customHeight="1" x14ac:dyDescent="0.25">
      <c r="A67" s="64"/>
      <c r="B67" s="74"/>
      <c r="C67" s="64"/>
      <c r="D67" s="16" t="s">
        <v>6</v>
      </c>
      <c r="E67" s="44">
        <f>F67+G67+H67+I67+J67+K67+L67</f>
        <v>4179.9962400000004</v>
      </c>
      <c r="F67" s="41">
        <v>0</v>
      </c>
      <c r="G67" s="44">
        <f>7880-3398.08888-301.91488</f>
        <v>4179.9962400000004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</row>
    <row r="68" spans="1:12" ht="40.5" customHeight="1" x14ac:dyDescent="0.25">
      <c r="A68" s="64"/>
      <c r="B68" s="74"/>
      <c r="C68" s="64"/>
      <c r="D68" s="16" t="s">
        <v>13</v>
      </c>
      <c r="E68" s="44">
        <v>0</v>
      </c>
      <c r="F68" s="41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</row>
    <row r="69" spans="1:12" ht="27" customHeight="1" x14ac:dyDescent="0.25">
      <c r="A69" s="64"/>
      <c r="B69" s="74"/>
      <c r="C69" s="64"/>
      <c r="D69" s="16" t="s">
        <v>30</v>
      </c>
      <c r="E69" s="44">
        <v>0</v>
      </c>
      <c r="F69" s="41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</row>
    <row r="70" spans="1:12" ht="31.5" customHeight="1" x14ac:dyDescent="0.25">
      <c r="A70" s="65"/>
      <c r="B70" s="75"/>
      <c r="C70" s="65"/>
      <c r="D70" s="16" t="s">
        <v>15</v>
      </c>
      <c r="E70" s="44">
        <f>G70+H70+I70+J70+K70+L70</f>
        <v>41805.078000000001</v>
      </c>
      <c r="F70" s="41">
        <v>0</v>
      </c>
      <c r="G70" s="44">
        <f>4180.5078-4180.5078</f>
        <v>0</v>
      </c>
      <c r="H70" s="44">
        <v>4180.5078000000003</v>
      </c>
      <c r="I70" s="44">
        <v>4180.5078000000003</v>
      </c>
      <c r="J70" s="44">
        <v>4180.5078000000003</v>
      </c>
      <c r="K70" s="44">
        <v>4180.5078000000003</v>
      </c>
      <c r="L70" s="44">
        <v>25083.0468</v>
      </c>
    </row>
    <row r="71" spans="1:12" s="32" customFormat="1" ht="32.25" customHeight="1" x14ac:dyDescent="0.25">
      <c r="A71" s="63" t="s">
        <v>94</v>
      </c>
      <c r="B71" s="73" t="s">
        <v>87</v>
      </c>
      <c r="C71" s="63" t="s">
        <v>18</v>
      </c>
      <c r="D71" s="15" t="s">
        <v>2</v>
      </c>
      <c r="E71" s="43">
        <f>E72+E73+E74+E75+E77</f>
        <v>626814.84797999996</v>
      </c>
      <c r="F71" s="40">
        <f>F72+F73+F74+F75+F77</f>
        <v>0</v>
      </c>
      <c r="G71" s="43">
        <f t="shared" ref="G71:L71" si="16">G72+G73+G74+G75+G77</f>
        <v>56495.547980000003</v>
      </c>
      <c r="H71" s="43">
        <f t="shared" si="16"/>
        <v>57031.929999999993</v>
      </c>
      <c r="I71" s="43">
        <f t="shared" si="16"/>
        <v>57031.93</v>
      </c>
      <c r="J71" s="43">
        <f t="shared" si="16"/>
        <v>57031.93</v>
      </c>
      <c r="K71" s="43">
        <f t="shared" si="16"/>
        <v>57031.93</v>
      </c>
      <c r="L71" s="43">
        <f t="shared" si="16"/>
        <v>342191.58</v>
      </c>
    </row>
    <row r="72" spans="1:12" ht="32.25" customHeight="1" x14ac:dyDescent="0.25">
      <c r="A72" s="64"/>
      <c r="B72" s="74"/>
      <c r="C72" s="64"/>
      <c r="D72" s="16" t="s">
        <v>14</v>
      </c>
      <c r="E72" s="44">
        <f>F72+G72+H72+I72+J72+K72+L72</f>
        <v>0</v>
      </c>
      <c r="F72" s="41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</row>
    <row r="73" spans="1:12" ht="32.25" customHeight="1" x14ac:dyDescent="0.25">
      <c r="A73" s="64"/>
      <c r="B73" s="74"/>
      <c r="C73" s="64"/>
      <c r="D73" s="16" t="s">
        <v>5</v>
      </c>
      <c r="E73" s="44">
        <f t="shared" ref="E73:E76" si="17">F73+G73+H73+I73+J73+K73+L73</f>
        <v>0</v>
      </c>
      <c r="F73" s="41">
        <v>0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</row>
    <row r="74" spans="1:12" ht="32.25" customHeight="1" x14ac:dyDescent="0.25">
      <c r="A74" s="64"/>
      <c r="B74" s="74"/>
      <c r="C74" s="64"/>
      <c r="D74" s="16" t="s">
        <v>6</v>
      </c>
      <c r="E74" s="44">
        <f>F74+G74+H74+I74+J74+K74+L74</f>
        <v>94381.172530000011</v>
      </c>
      <c r="F74" s="41">
        <v>0</v>
      </c>
      <c r="G74" s="44">
        <f>18328.46007+2182.25555+301.91488+4655.28421+79.187+362.50627+30585.94</f>
        <v>56495.547980000003</v>
      </c>
      <c r="H74" s="44">
        <v>19091.274549999998</v>
      </c>
      <c r="I74" s="44">
        <v>302.72500000000002</v>
      </c>
      <c r="J74" s="44">
        <v>18491.625</v>
      </c>
      <c r="K74" s="44">
        <v>0</v>
      </c>
      <c r="L74" s="44">
        <v>0</v>
      </c>
    </row>
    <row r="75" spans="1:12" ht="32.25" customHeight="1" x14ac:dyDescent="0.25">
      <c r="A75" s="64"/>
      <c r="B75" s="74"/>
      <c r="C75" s="64"/>
      <c r="D75" s="16" t="s">
        <v>13</v>
      </c>
      <c r="E75" s="44">
        <f t="shared" si="17"/>
        <v>0</v>
      </c>
      <c r="F75" s="41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</row>
    <row r="76" spans="1:12" ht="32.25" customHeight="1" x14ac:dyDescent="0.25">
      <c r="A76" s="64"/>
      <c r="B76" s="74"/>
      <c r="C76" s="64"/>
      <c r="D76" s="16" t="s">
        <v>30</v>
      </c>
      <c r="E76" s="44">
        <f t="shared" si="17"/>
        <v>0</v>
      </c>
      <c r="F76" s="41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</row>
    <row r="77" spans="1:12" ht="32.25" customHeight="1" x14ac:dyDescent="0.25">
      <c r="A77" s="65"/>
      <c r="B77" s="75"/>
      <c r="C77" s="65"/>
      <c r="D77" s="16" t="s">
        <v>15</v>
      </c>
      <c r="E77" s="44">
        <f>F77+G77+H77+I77+J77+K77+L77</f>
        <v>532433.67544999998</v>
      </c>
      <c r="F77" s="41">
        <v>0</v>
      </c>
      <c r="G77" s="44">
        <v>0</v>
      </c>
      <c r="H77" s="44">
        <v>37940.655449999998</v>
      </c>
      <c r="I77" s="44">
        <v>56729.205000000002</v>
      </c>
      <c r="J77" s="44">
        <v>38540.305</v>
      </c>
      <c r="K77" s="44">
        <v>57031.93</v>
      </c>
      <c r="L77" s="44">
        <v>342191.58</v>
      </c>
    </row>
    <row r="78" spans="1:12" ht="34.5" customHeight="1" x14ac:dyDescent="0.25">
      <c r="A78" s="122" t="s">
        <v>22</v>
      </c>
      <c r="B78" s="123"/>
      <c r="C78" s="124"/>
      <c r="D78" s="12" t="s">
        <v>2</v>
      </c>
      <c r="E78" s="45">
        <f>E79+E80+E81+E82+E84</f>
        <v>4679018.1388099995</v>
      </c>
      <c r="F78" s="42">
        <f t="shared" ref="F78:L78" si="18">F79+F80+F81+F82+F84</f>
        <v>303271.90703</v>
      </c>
      <c r="G78" s="45">
        <f t="shared" si="18"/>
        <v>296175.0210200001</v>
      </c>
      <c r="H78" s="45">
        <f t="shared" si="18"/>
        <v>399959.65472999995</v>
      </c>
      <c r="I78" s="45">
        <f t="shared" si="18"/>
        <v>783306.29079999996</v>
      </c>
      <c r="J78" s="45">
        <f t="shared" si="18"/>
        <v>350018.71580000001</v>
      </c>
      <c r="K78" s="45">
        <f t="shared" si="18"/>
        <v>493235.22416999994</v>
      </c>
      <c r="L78" s="45">
        <f t="shared" si="18"/>
        <v>2053051.3252600001</v>
      </c>
    </row>
    <row r="79" spans="1:12" ht="33.75" customHeight="1" x14ac:dyDescent="0.25">
      <c r="A79" s="125"/>
      <c r="B79" s="126"/>
      <c r="C79" s="127"/>
      <c r="D79" s="13" t="s">
        <v>14</v>
      </c>
      <c r="E79" s="46">
        <f>F79+G79+H79+I79+J79+K79+L79</f>
        <v>0</v>
      </c>
      <c r="F79" s="31">
        <f t="shared" ref="F79:L81" si="19">F9+F16+F23+F30+F37+F51+F58+F65+F72</f>
        <v>0</v>
      </c>
      <c r="G79" s="31">
        <f t="shared" si="19"/>
        <v>0</v>
      </c>
      <c r="H79" s="31">
        <f t="shared" si="19"/>
        <v>0</v>
      </c>
      <c r="I79" s="31">
        <f t="shared" si="19"/>
        <v>0</v>
      </c>
      <c r="J79" s="31">
        <f t="shared" si="19"/>
        <v>0</v>
      </c>
      <c r="K79" s="31">
        <f t="shared" si="19"/>
        <v>0</v>
      </c>
      <c r="L79" s="31">
        <f t="shared" si="19"/>
        <v>0</v>
      </c>
    </row>
    <row r="80" spans="1:12" ht="28.5" customHeight="1" x14ac:dyDescent="0.25">
      <c r="A80" s="125"/>
      <c r="B80" s="126"/>
      <c r="C80" s="127"/>
      <c r="D80" s="13" t="s">
        <v>5</v>
      </c>
      <c r="E80" s="46">
        <f t="shared" ref="E80:E83" si="20">F80+G80+H80+I80+J80+K80+L80</f>
        <v>43947.199999999997</v>
      </c>
      <c r="F80" s="31">
        <f t="shared" si="19"/>
        <v>3764.6</v>
      </c>
      <c r="G80" s="46">
        <f t="shared" si="19"/>
        <v>7672</v>
      </c>
      <c r="H80" s="46">
        <f t="shared" si="19"/>
        <v>6143.5</v>
      </c>
      <c r="I80" s="46">
        <f t="shared" si="19"/>
        <v>3477.4</v>
      </c>
      <c r="J80" s="46">
        <f t="shared" si="19"/>
        <v>2217.9</v>
      </c>
      <c r="K80" s="46">
        <f t="shared" si="19"/>
        <v>3445.3</v>
      </c>
      <c r="L80" s="46">
        <f t="shared" si="19"/>
        <v>17226.5</v>
      </c>
    </row>
    <row r="81" spans="1:13" ht="27" customHeight="1" x14ac:dyDescent="0.25">
      <c r="A81" s="125"/>
      <c r="B81" s="126"/>
      <c r="C81" s="127"/>
      <c r="D81" s="13" t="s">
        <v>6</v>
      </c>
      <c r="E81" s="46">
        <f t="shared" si="20"/>
        <v>2279005.93365</v>
      </c>
      <c r="F81" s="31">
        <f t="shared" si="19"/>
        <v>299365.66970999999</v>
      </c>
      <c r="G81" s="46">
        <f t="shared" si="19"/>
        <v>287510.97989000008</v>
      </c>
      <c r="H81" s="46">
        <f t="shared" si="19"/>
        <v>154666.99325</v>
      </c>
      <c r="I81" s="46">
        <f t="shared" si="19"/>
        <v>51749.137559999996</v>
      </c>
      <c r="J81" s="46">
        <f t="shared" si="19"/>
        <v>164489.573</v>
      </c>
      <c r="K81" s="46">
        <f t="shared" si="19"/>
        <v>193145.16177999999</v>
      </c>
      <c r="L81" s="46">
        <f t="shared" si="19"/>
        <v>1128078.4184600001</v>
      </c>
      <c r="M81" s="38"/>
    </row>
    <row r="82" spans="1:13" ht="30" customHeight="1" x14ac:dyDescent="0.25">
      <c r="A82" s="125"/>
      <c r="B82" s="126"/>
      <c r="C82" s="127"/>
      <c r="D82" s="13" t="s">
        <v>13</v>
      </c>
      <c r="E82" s="46">
        <f t="shared" si="20"/>
        <v>1124.01845</v>
      </c>
      <c r="F82" s="31">
        <f t="shared" ref="F82:G84" si="21">F12+F19+F26+F33+F40+F54+F61+F68+F75</f>
        <v>136.80732</v>
      </c>
      <c r="G82" s="46">
        <f t="shared" si="21"/>
        <v>987.21112999999991</v>
      </c>
      <c r="H82" s="46">
        <f>H12+H19+H26+H33+H4+H54+H61+H68+H75</f>
        <v>0</v>
      </c>
      <c r="I82" s="46">
        <f t="shared" ref="I82:L84" si="22">I12+I19+I26+I33+I40+I54+I61+I68+I75</f>
        <v>0</v>
      </c>
      <c r="J82" s="46">
        <f t="shared" si="22"/>
        <v>0</v>
      </c>
      <c r="K82" s="46">
        <f t="shared" si="22"/>
        <v>0</v>
      </c>
      <c r="L82" s="46">
        <f t="shared" si="22"/>
        <v>0</v>
      </c>
    </row>
    <row r="83" spans="1:13" ht="30.75" customHeight="1" x14ac:dyDescent="0.25">
      <c r="A83" s="125"/>
      <c r="B83" s="126"/>
      <c r="C83" s="127"/>
      <c r="D83" s="13" t="s">
        <v>30</v>
      </c>
      <c r="E83" s="46">
        <f t="shared" si="20"/>
        <v>0</v>
      </c>
      <c r="F83" s="31">
        <f t="shared" si="21"/>
        <v>0</v>
      </c>
      <c r="G83" s="46">
        <f t="shared" si="21"/>
        <v>0</v>
      </c>
      <c r="H83" s="46">
        <f>H13+H20+H27+H34+H41+H55+H62+H69+H76</f>
        <v>0</v>
      </c>
      <c r="I83" s="46">
        <f t="shared" si="22"/>
        <v>0</v>
      </c>
      <c r="J83" s="46">
        <f t="shared" si="22"/>
        <v>0</v>
      </c>
      <c r="K83" s="46">
        <f t="shared" si="22"/>
        <v>0</v>
      </c>
      <c r="L83" s="46">
        <f t="shared" si="22"/>
        <v>0</v>
      </c>
    </row>
    <row r="84" spans="1:13" ht="29.25" customHeight="1" x14ac:dyDescent="0.25">
      <c r="A84" s="128"/>
      <c r="B84" s="129"/>
      <c r="C84" s="130"/>
      <c r="D84" s="13" t="s">
        <v>15</v>
      </c>
      <c r="E84" s="46">
        <f>F84+G84+H84+I84+J84+K84+L84</f>
        <v>2354940.9867099999</v>
      </c>
      <c r="F84" s="31">
        <f t="shared" si="21"/>
        <v>4.83</v>
      </c>
      <c r="G84" s="46">
        <f t="shared" si="21"/>
        <v>4.83</v>
      </c>
      <c r="H84" s="46">
        <f>H14+H21+H28+H35+H42+H56+H63+H70+H77</f>
        <v>239149.16147999998</v>
      </c>
      <c r="I84" s="46">
        <f t="shared" si="22"/>
        <v>728079.75323999999</v>
      </c>
      <c r="J84" s="46">
        <f t="shared" si="22"/>
        <v>183311.24279999998</v>
      </c>
      <c r="K84" s="46">
        <f t="shared" si="22"/>
        <v>296644.76238999999</v>
      </c>
      <c r="L84" s="46">
        <f t="shared" si="22"/>
        <v>907746.4068</v>
      </c>
    </row>
    <row r="85" spans="1:13" ht="34.5" customHeight="1" x14ac:dyDescent="0.25">
      <c r="A85" s="119" t="s">
        <v>20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1"/>
    </row>
    <row r="86" spans="1:13" ht="32.25" customHeight="1" x14ac:dyDescent="0.25">
      <c r="A86" s="131" t="s">
        <v>35</v>
      </c>
      <c r="B86" s="96" t="s">
        <v>76</v>
      </c>
      <c r="C86" s="72" t="s">
        <v>18</v>
      </c>
      <c r="D86" s="15" t="s">
        <v>2</v>
      </c>
      <c r="E86" s="43">
        <f>E87+E88+E89+E90+E92</f>
        <v>2018.3774800000001</v>
      </c>
      <c r="F86" s="40">
        <f t="shared" ref="F86:L86" si="23">F87+F88+F89+F90+F92</f>
        <v>2018.3774800000001</v>
      </c>
      <c r="G86" s="43">
        <f t="shared" si="23"/>
        <v>0</v>
      </c>
      <c r="H86" s="43">
        <f t="shared" si="23"/>
        <v>0</v>
      </c>
      <c r="I86" s="43">
        <f t="shared" si="23"/>
        <v>0</v>
      </c>
      <c r="J86" s="43">
        <f t="shared" si="23"/>
        <v>0</v>
      </c>
      <c r="K86" s="43">
        <f t="shared" si="23"/>
        <v>0</v>
      </c>
      <c r="L86" s="43">
        <f t="shared" si="23"/>
        <v>0</v>
      </c>
    </row>
    <row r="87" spans="1:13" ht="17.25" customHeight="1" x14ac:dyDescent="0.25">
      <c r="A87" s="131"/>
      <c r="B87" s="96"/>
      <c r="C87" s="72"/>
      <c r="D87" s="16" t="s">
        <v>14</v>
      </c>
      <c r="E87" s="44">
        <f>F87+G87+H87+I87+J87+K87+L87</f>
        <v>0</v>
      </c>
      <c r="F87" s="41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</row>
    <row r="88" spans="1:13" ht="17.25" customHeight="1" x14ac:dyDescent="0.25">
      <c r="A88" s="131"/>
      <c r="B88" s="96"/>
      <c r="C88" s="72"/>
      <c r="D88" s="16" t="s">
        <v>5</v>
      </c>
      <c r="E88" s="44">
        <f t="shared" ref="E88:E92" si="24">F88+G88+H88+I88+J88+K88+L88</f>
        <v>0</v>
      </c>
      <c r="F88" s="41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</row>
    <row r="89" spans="1:13" ht="17.25" customHeight="1" x14ac:dyDescent="0.25">
      <c r="A89" s="131"/>
      <c r="B89" s="96"/>
      <c r="C89" s="72"/>
      <c r="D89" s="16" t="s">
        <v>6</v>
      </c>
      <c r="E89" s="44">
        <f t="shared" si="24"/>
        <v>2018.3774800000001</v>
      </c>
      <c r="F89" s="41">
        <f>2018.37748</f>
        <v>2018.3774800000001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f>K89*6</f>
        <v>0</v>
      </c>
    </row>
    <row r="90" spans="1:13" ht="17.25" customHeight="1" x14ac:dyDescent="0.25">
      <c r="A90" s="131"/>
      <c r="B90" s="96"/>
      <c r="C90" s="72"/>
      <c r="D90" s="16" t="s">
        <v>13</v>
      </c>
      <c r="E90" s="44">
        <f t="shared" si="24"/>
        <v>0</v>
      </c>
      <c r="F90" s="41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</row>
    <row r="91" spans="1:13" ht="26.25" customHeight="1" x14ac:dyDescent="0.25">
      <c r="A91" s="131"/>
      <c r="B91" s="96"/>
      <c r="C91" s="72"/>
      <c r="D91" s="16" t="s">
        <v>30</v>
      </c>
      <c r="E91" s="44">
        <f t="shared" si="24"/>
        <v>0</v>
      </c>
      <c r="F91" s="41">
        <v>0</v>
      </c>
      <c r="G91" s="4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</row>
    <row r="92" spans="1:13" ht="22.5" customHeight="1" x14ac:dyDescent="0.25">
      <c r="A92" s="131"/>
      <c r="B92" s="96"/>
      <c r="C92" s="72"/>
      <c r="D92" s="16" t="s">
        <v>15</v>
      </c>
      <c r="E92" s="44">
        <f t="shared" si="24"/>
        <v>0</v>
      </c>
      <c r="F92" s="41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</row>
    <row r="93" spans="1:13" ht="32.25" customHeight="1" x14ac:dyDescent="0.25">
      <c r="A93" s="132" t="s">
        <v>36</v>
      </c>
      <c r="B93" s="96" t="s">
        <v>69</v>
      </c>
      <c r="C93" s="81" t="s">
        <v>64</v>
      </c>
      <c r="D93" s="15" t="s">
        <v>2</v>
      </c>
      <c r="E93" s="43">
        <f>E94+E95+E96+E97+E99</f>
        <v>11838.02002</v>
      </c>
      <c r="F93" s="40">
        <f t="shared" ref="F93:L93" si="25">F94+F95+F96+F97+F99</f>
        <v>1576.2220199999999</v>
      </c>
      <c r="G93" s="43">
        <f t="shared" si="25"/>
        <v>561.798</v>
      </c>
      <c r="H93" s="43">
        <f t="shared" si="25"/>
        <v>1700</v>
      </c>
      <c r="I93" s="43">
        <f t="shared" si="25"/>
        <v>500</v>
      </c>
      <c r="J93" s="43">
        <f t="shared" si="25"/>
        <v>1500</v>
      </c>
      <c r="K93" s="43">
        <f t="shared" si="25"/>
        <v>1000</v>
      </c>
      <c r="L93" s="43">
        <f t="shared" si="25"/>
        <v>5000</v>
      </c>
    </row>
    <row r="94" spans="1:13" ht="39.75" customHeight="1" x14ac:dyDescent="0.25">
      <c r="A94" s="133"/>
      <c r="B94" s="96"/>
      <c r="C94" s="81"/>
      <c r="D94" s="16" t="s">
        <v>14</v>
      </c>
      <c r="E94" s="44">
        <f>F94+G94+H94+I94+J94+K94+L94</f>
        <v>0</v>
      </c>
      <c r="F94" s="41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</row>
    <row r="95" spans="1:13" ht="30.75" customHeight="1" x14ac:dyDescent="0.25">
      <c r="A95" s="133"/>
      <c r="B95" s="96"/>
      <c r="C95" s="81"/>
      <c r="D95" s="16" t="s">
        <v>5</v>
      </c>
      <c r="E95" s="44">
        <f t="shared" ref="E95:E99" si="26">F95+G95+H95+I95+J95+K95+L95</f>
        <v>0</v>
      </c>
      <c r="F95" s="41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44">
        <v>0</v>
      </c>
    </row>
    <row r="96" spans="1:13" ht="39.75" customHeight="1" x14ac:dyDescent="0.25">
      <c r="A96" s="133"/>
      <c r="B96" s="96"/>
      <c r="C96" s="81"/>
      <c r="D96" s="16" t="s">
        <v>6</v>
      </c>
      <c r="E96" s="44">
        <f t="shared" si="26"/>
        <v>3338.0200199999999</v>
      </c>
      <c r="F96" s="41">
        <f>803.5+1000-227.27798</f>
        <v>1576.2220199999999</v>
      </c>
      <c r="G96" s="44">
        <f>500+61.798</f>
        <v>561.798</v>
      </c>
      <c r="H96" s="44">
        <v>700</v>
      </c>
      <c r="I96" s="44">
        <v>0</v>
      </c>
      <c r="J96" s="44">
        <v>500</v>
      </c>
      <c r="K96" s="44">
        <v>0</v>
      </c>
      <c r="L96" s="44">
        <v>0</v>
      </c>
    </row>
    <row r="97" spans="1:12" ht="60" customHeight="1" x14ac:dyDescent="0.25">
      <c r="A97" s="133"/>
      <c r="B97" s="96"/>
      <c r="C97" s="81"/>
      <c r="D97" s="16" t="s">
        <v>13</v>
      </c>
      <c r="E97" s="44">
        <f t="shared" si="26"/>
        <v>0</v>
      </c>
      <c r="F97" s="41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</row>
    <row r="98" spans="1:12" ht="38.25" customHeight="1" x14ac:dyDescent="0.25">
      <c r="A98" s="133"/>
      <c r="B98" s="96"/>
      <c r="C98" s="81"/>
      <c r="D98" s="16" t="s">
        <v>30</v>
      </c>
      <c r="E98" s="44">
        <f t="shared" si="26"/>
        <v>0</v>
      </c>
      <c r="F98" s="41">
        <v>0</v>
      </c>
      <c r="G98" s="44">
        <v>0</v>
      </c>
      <c r="H98" s="44">
        <v>0</v>
      </c>
      <c r="I98" s="44">
        <v>0</v>
      </c>
      <c r="J98" s="44">
        <v>0</v>
      </c>
      <c r="K98" s="44">
        <v>0</v>
      </c>
      <c r="L98" s="44">
        <v>0</v>
      </c>
    </row>
    <row r="99" spans="1:12" ht="32.25" customHeight="1" x14ac:dyDescent="0.25">
      <c r="A99" s="134"/>
      <c r="B99" s="96"/>
      <c r="C99" s="81"/>
      <c r="D99" s="16" t="s">
        <v>15</v>
      </c>
      <c r="E99" s="44">
        <f t="shared" si="26"/>
        <v>8500</v>
      </c>
      <c r="F99" s="41">
        <f>25000-25000</f>
        <v>0</v>
      </c>
      <c r="G99" s="44">
        <f>1000-1000</f>
        <v>0</v>
      </c>
      <c r="H99" s="44">
        <v>1000</v>
      </c>
      <c r="I99" s="44">
        <v>500</v>
      </c>
      <c r="J99" s="44">
        <v>1000</v>
      </c>
      <c r="K99" s="44">
        <v>1000</v>
      </c>
      <c r="L99" s="44">
        <v>5000</v>
      </c>
    </row>
    <row r="100" spans="1:12" s="6" customFormat="1" ht="20.25" customHeight="1" x14ac:dyDescent="0.25">
      <c r="A100" s="90" t="s">
        <v>63</v>
      </c>
      <c r="B100" s="91" t="s">
        <v>77</v>
      </c>
      <c r="C100" s="81" t="s">
        <v>19</v>
      </c>
      <c r="D100" s="20" t="s">
        <v>2</v>
      </c>
      <c r="E100" s="45">
        <f>E101+E102+E103+E104+E106</f>
        <v>89412.3</v>
      </c>
      <c r="F100" s="42">
        <f t="shared" ref="F100:L100" si="27">F101+F102+F103+F104+F106</f>
        <v>3493.7999999999993</v>
      </c>
      <c r="G100" s="45">
        <f t="shared" si="27"/>
        <v>2914.5</v>
      </c>
      <c r="H100" s="45">
        <f t="shared" si="27"/>
        <v>8300.4</v>
      </c>
      <c r="I100" s="45">
        <f t="shared" si="27"/>
        <v>8300.4</v>
      </c>
      <c r="J100" s="45">
        <f t="shared" si="27"/>
        <v>8300.4</v>
      </c>
      <c r="K100" s="45">
        <f t="shared" si="27"/>
        <v>8300.4</v>
      </c>
      <c r="L100" s="45">
        <f t="shared" si="27"/>
        <v>49802.400000000001</v>
      </c>
    </row>
    <row r="101" spans="1:12" s="6" customFormat="1" ht="32.25" customHeight="1" x14ac:dyDescent="0.25">
      <c r="A101" s="90"/>
      <c r="B101" s="91"/>
      <c r="C101" s="81"/>
      <c r="D101" s="13" t="s">
        <v>14</v>
      </c>
      <c r="E101" s="46">
        <f>F101+G101+H101+I101+J101+K101+L101</f>
        <v>0</v>
      </c>
      <c r="F101" s="31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</row>
    <row r="102" spans="1:12" s="6" customFormat="1" ht="32.25" customHeight="1" x14ac:dyDescent="0.25">
      <c r="A102" s="90"/>
      <c r="B102" s="91"/>
      <c r="C102" s="81"/>
      <c r="D102" s="13" t="s">
        <v>5</v>
      </c>
      <c r="E102" s="46">
        <f t="shared" ref="E102:E106" si="28">F102+G102+H102+I102+J102+K102+L102</f>
        <v>89412.3</v>
      </c>
      <c r="F102" s="31">
        <f>8266.4+34-4806.6</f>
        <v>3493.7999999999993</v>
      </c>
      <c r="G102" s="46">
        <f>8300.4-5385.9</f>
        <v>2914.5</v>
      </c>
      <c r="H102" s="46">
        <v>8300.4</v>
      </c>
      <c r="I102" s="46">
        <v>8300.4</v>
      </c>
      <c r="J102" s="46">
        <v>8300.4</v>
      </c>
      <c r="K102" s="46">
        <v>8300.4</v>
      </c>
      <c r="L102" s="46">
        <v>49802.400000000001</v>
      </c>
    </row>
    <row r="103" spans="1:12" s="6" customFormat="1" ht="31.5" customHeight="1" x14ac:dyDescent="0.25">
      <c r="A103" s="90"/>
      <c r="B103" s="91"/>
      <c r="C103" s="81"/>
      <c r="D103" s="13" t="s">
        <v>6</v>
      </c>
      <c r="E103" s="46">
        <f t="shared" si="28"/>
        <v>0</v>
      </c>
      <c r="F103" s="31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</row>
    <row r="104" spans="1:12" s="6" customFormat="1" ht="49.5" customHeight="1" x14ac:dyDescent="0.25">
      <c r="A104" s="90"/>
      <c r="B104" s="91"/>
      <c r="C104" s="81"/>
      <c r="D104" s="13" t="s">
        <v>13</v>
      </c>
      <c r="E104" s="46">
        <f t="shared" si="28"/>
        <v>0</v>
      </c>
      <c r="F104" s="31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46">
        <v>0</v>
      </c>
    </row>
    <row r="105" spans="1:12" s="6" customFormat="1" ht="36.75" customHeight="1" x14ac:dyDescent="0.25">
      <c r="A105" s="90"/>
      <c r="B105" s="91"/>
      <c r="C105" s="81"/>
      <c r="D105" s="13" t="s">
        <v>30</v>
      </c>
      <c r="E105" s="46">
        <f t="shared" si="28"/>
        <v>0</v>
      </c>
      <c r="F105" s="31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46">
        <v>0</v>
      </c>
    </row>
    <row r="106" spans="1:12" s="6" customFormat="1" ht="30.75" customHeight="1" x14ac:dyDescent="0.25">
      <c r="A106" s="90"/>
      <c r="B106" s="91"/>
      <c r="C106" s="81"/>
      <c r="D106" s="13" t="s">
        <v>15</v>
      </c>
      <c r="E106" s="46">
        <f t="shared" si="28"/>
        <v>0</v>
      </c>
      <c r="F106" s="31">
        <v>0</v>
      </c>
      <c r="G106" s="46">
        <v>0</v>
      </c>
      <c r="H106" s="46">
        <v>0</v>
      </c>
      <c r="I106" s="46">
        <v>0</v>
      </c>
      <c r="J106" s="46">
        <v>0</v>
      </c>
      <c r="K106" s="46">
        <v>0</v>
      </c>
      <c r="L106" s="46">
        <v>0</v>
      </c>
    </row>
    <row r="107" spans="1:12" ht="45.75" customHeight="1" x14ac:dyDescent="0.25">
      <c r="A107" s="86" t="s">
        <v>23</v>
      </c>
      <c r="B107" s="86"/>
      <c r="C107" s="86"/>
      <c r="D107" s="12" t="s">
        <v>2</v>
      </c>
      <c r="E107" s="45">
        <f>E108+E109+E110+E111+E113</f>
        <v>103268.69750000001</v>
      </c>
      <c r="F107" s="42">
        <f t="shared" ref="F107:L107" si="29">F108+F109+F110+F111+F113</f>
        <v>7088.3994999999995</v>
      </c>
      <c r="G107" s="43">
        <f t="shared" si="29"/>
        <v>3476.2979999999998</v>
      </c>
      <c r="H107" s="45">
        <f t="shared" si="29"/>
        <v>10000.4</v>
      </c>
      <c r="I107" s="45">
        <f t="shared" si="29"/>
        <v>8800.4</v>
      </c>
      <c r="J107" s="45">
        <f t="shared" si="29"/>
        <v>9800.4</v>
      </c>
      <c r="K107" s="45">
        <f t="shared" si="29"/>
        <v>9300.4</v>
      </c>
      <c r="L107" s="45">
        <f t="shared" si="29"/>
        <v>54802.400000000001</v>
      </c>
    </row>
    <row r="108" spans="1:12" ht="36" customHeight="1" x14ac:dyDescent="0.25">
      <c r="A108" s="86"/>
      <c r="B108" s="86"/>
      <c r="C108" s="86"/>
      <c r="D108" s="13" t="s">
        <v>14</v>
      </c>
      <c r="E108" s="46">
        <f>F108+G108+H108+I108+J108+K108+L108</f>
        <v>0</v>
      </c>
      <c r="F108" s="31">
        <f>F87+F94+F101</f>
        <v>0</v>
      </c>
      <c r="G108" s="44">
        <f t="shared" ref="G108:L108" si="30">G87+G94+G101</f>
        <v>0</v>
      </c>
      <c r="H108" s="46">
        <f t="shared" si="30"/>
        <v>0</v>
      </c>
      <c r="I108" s="46">
        <f t="shared" si="30"/>
        <v>0</v>
      </c>
      <c r="J108" s="46">
        <f t="shared" si="30"/>
        <v>0</v>
      </c>
      <c r="K108" s="46">
        <f t="shared" si="30"/>
        <v>0</v>
      </c>
      <c r="L108" s="46">
        <f t="shared" si="30"/>
        <v>0</v>
      </c>
    </row>
    <row r="109" spans="1:12" ht="44.25" customHeight="1" x14ac:dyDescent="0.25">
      <c r="A109" s="86"/>
      <c r="B109" s="86"/>
      <c r="C109" s="86"/>
      <c r="D109" s="13" t="s">
        <v>5</v>
      </c>
      <c r="E109" s="46">
        <f t="shared" ref="E109:E113" si="31">F109+G109+H109+I109+J109+K109+L109</f>
        <v>89412.3</v>
      </c>
      <c r="F109" s="31">
        <f t="shared" ref="F109:L109" si="32">F88+F95+F102</f>
        <v>3493.7999999999993</v>
      </c>
      <c r="G109" s="44">
        <f t="shared" si="32"/>
        <v>2914.5</v>
      </c>
      <c r="H109" s="46">
        <f t="shared" si="32"/>
        <v>8300.4</v>
      </c>
      <c r="I109" s="46">
        <f t="shared" si="32"/>
        <v>8300.4</v>
      </c>
      <c r="J109" s="46">
        <f t="shared" si="32"/>
        <v>8300.4</v>
      </c>
      <c r="K109" s="46">
        <f t="shared" si="32"/>
        <v>8300.4</v>
      </c>
      <c r="L109" s="46">
        <f t="shared" si="32"/>
        <v>49802.400000000001</v>
      </c>
    </row>
    <row r="110" spans="1:12" ht="33" customHeight="1" x14ac:dyDescent="0.25">
      <c r="A110" s="86"/>
      <c r="B110" s="86"/>
      <c r="C110" s="86"/>
      <c r="D110" s="13" t="s">
        <v>6</v>
      </c>
      <c r="E110" s="46">
        <f t="shared" si="31"/>
        <v>5356.3975</v>
      </c>
      <c r="F110" s="31">
        <f t="shared" ref="F110:L110" si="33">F89+F96+F103</f>
        <v>3594.5995000000003</v>
      </c>
      <c r="G110" s="44">
        <f t="shared" si="33"/>
        <v>561.798</v>
      </c>
      <c r="H110" s="46">
        <f t="shared" si="33"/>
        <v>700</v>
      </c>
      <c r="I110" s="46">
        <f t="shared" si="33"/>
        <v>0</v>
      </c>
      <c r="J110" s="46">
        <f t="shared" si="33"/>
        <v>500</v>
      </c>
      <c r="K110" s="46">
        <f t="shared" si="33"/>
        <v>0</v>
      </c>
      <c r="L110" s="46">
        <f t="shared" si="33"/>
        <v>0</v>
      </c>
    </row>
    <row r="111" spans="1:12" ht="47.25" customHeight="1" x14ac:dyDescent="0.25">
      <c r="A111" s="86"/>
      <c r="B111" s="86"/>
      <c r="C111" s="86"/>
      <c r="D111" s="13" t="s">
        <v>13</v>
      </c>
      <c r="E111" s="46">
        <f t="shared" si="31"/>
        <v>0</v>
      </c>
      <c r="F111" s="31">
        <f t="shared" ref="F111:L111" si="34">F90+F97+F104</f>
        <v>0</v>
      </c>
      <c r="G111" s="44">
        <f t="shared" si="34"/>
        <v>0</v>
      </c>
      <c r="H111" s="46">
        <f t="shared" si="34"/>
        <v>0</v>
      </c>
      <c r="I111" s="46">
        <f t="shared" si="34"/>
        <v>0</v>
      </c>
      <c r="J111" s="46">
        <f t="shared" si="34"/>
        <v>0</v>
      </c>
      <c r="K111" s="46">
        <f t="shared" si="34"/>
        <v>0</v>
      </c>
      <c r="L111" s="46">
        <f t="shared" si="34"/>
        <v>0</v>
      </c>
    </row>
    <row r="112" spans="1:12" ht="36.75" customHeight="1" x14ac:dyDescent="0.25">
      <c r="A112" s="86"/>
      <c r="B112" s="86"/>
      <c r="C112" s="86"/>
      <c r="D112" s="13" t="s">
        <v>30</v>
      </c>
      <c r="E112" s="46">
        <f t="shared" si="31"/>
        <v>0</v>
      </c>
      <c r="F112" s="31">
        <f t="shared" ref="F112:L112" si="35">F91+F98+F105</f>
        <v>0</v>
      </c>
      <c r="G112" s="44">
        <f t="shared" si="35"/>
        <v>0</v>
      </c>
      <c r="H112" s="46">
        <f t="shared" si="35"/>
        <v>0</v>
      </c>
      <c r="I112" s="46">
        <f t="shared" si="35"/>
        <v>0</v>
      </c>
      <c r="J112" s="46">
        <f t="shared" si="35"/>
        <v>0</v>
      </c>
      <c r="K112" s="46">
        <f t="shared" si="35"/>
        <v>0</v>
      </c>
      <c r="L112" s="46">
        <f t="shared" si="35"/>
        <v>0</v>
      </c>
    </row>
    <row r="113" spans="1:12" ht="34.5" customHeight="1" x14ac:dyDescent="0.25">
      <c r="A113" s="86"/>
      <c r="B113" s="86"/>
      <c r="C113" s="86"/>
      <c r="D113" s="13" t="s">
        <v>15</v>
      </c>
      <c r="E113" s="46">
        <f t="shared" si="31"/>
        <v>8500</v>
      </c>
      <c r="F113" s="31">
        <f t="shared" ref="F113:L113" si="36">F92+F99+F106</f>
        <v>0</v>
      </c>
      <c r="G113" s="44">
        <f>G92+G99+G106</f>
        <v>0</v>
      </c>
      <c r="H113" s="46">
        <f t="shared" si="36"/>
        <v>1000</v>
      </c>
      <c r="I113" s="46">
        <f t="shared" si="36"/>
        <v>500</v>
      </c>
      <c r="J113" s="46">
        <f t="shared" si="36"/>
        <v>1000</v>
      </c>
      <c r="K113" s="46">
        <f t="shared" si="36"/>
        <v>1000</v>
      </c>
      <c r="L113" s="46">
        <f t="shared" si="36"/>
        <v>5000</v>
      </c>
    </row>
    <row r="114" spans="1:12" s="6" customFormat="1" ht="25.5" customHeight="1" x14ac:dyDescent="0.25">
      <c r="A114" s="117" t="s">
        <v>24</v>
      </c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</row>
    <row r="115" spans="1:12" s="6" customFormat="1" ht="39.75" customHeight="1" x14ac:dyDescent="0.25">
      <c r="A115" s="82" t="s">
        <v>37</v>
      </c>
      <c r="B115" s="87" t="s">
        <v>78</v>
      </c>
      <c r="C115" s="82" t="s">
        <v>70</v>
      </c>
      <c r="D115" s="12" t="s">
        <v>2</v>
      </c>
      <c r="E115" s="45">
        <f>E116+E117+E118+E119+E121</f>
        <v>12181.24648</v>
      </c>
      <c r="F115" s="42">
        <f t="shared" ref="F115:L115" si="37">F116+F117+F118+F119+F121</f>
        <v>7445.973</v>
      </c>
      <c r="G115" s="43">
        <f t="shared" si="37"/>
        <v>4735.2734799999998</v>
      </c>
      <c r="H115" s="45">
        <f t="shared" si="37"/>
        <v>0</v>
      </c>
      <c r="I115" s="45">
        <f t="shared" si="37"/>
        <v>0</v>
      </c>
      <c r="J115" s="45">
        <f t="shared" si="37"/>
        <v>0</v>
      </c>
      <c r="K115" s="45">
        <f t="shared" si="37"/>
        <v>0</v>
      </c>
      <c r="L115" s="45">
        <f t="shared" si="37"/>
        <v>0</v>
      </c>
    </row>
    <row r="116" spans="1:12" s="6" customFormat="1" ht="31.5" customHeight="1" x14ac:dyDescent="0.25">
      <c r="A116" s="83"/>
      <c r="B116" s="88"/>
      <c r="C116" s="83"/>
      <c r="D116" s="13" t="s">
        <v>14</v>
      </c>
      <c r="E116" s="46">
        <f>F116+G116+H116+I116+J116+K116+L116</f>
        <v>0</v>
      </c>
      <c r="F116" s="48">
        <v>0</v>
      </c>
      <c r="G116" s="57"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</row>
    <row r="117" spans="1:12" s="6" customFormat="1" ht="39.75" customHeight="1" x14ac:dyDescent="0.25">
      <c r="A117" s="83"/>
      <c r="B117" s="88"/>
      <c r="C117" s="83"/>
      <c r="D117" s="13" t="s">
        <v>5</v>
      </c>
      <c r="E117" s="46">
        <f t="shared" ref="E117:E121" si="38">F117+G117+H117+I117+J117+K117+L117</f>
        <v>0</v>
      </c>
      <c r="F117" s="48">
        <v>0</v>
      </c>
      <c r="G117" s="57">
        <v>0</v>
      </c>
      <c r="H117" s="49">
        <v>0</v>
      </c>
      <c r="I117" s="49">
        <v>0</v>
      </c>
      <c r="J117" s="49">
        <v>0</v>
      </c>
      <c r="K117" s="49">
        <v>0</v>
      </c>
      <c r="L117" s="49">
        <v>0</v>
      </c>
    </row>
    <row r="118" spans="1:12" s="6" customFormat="1" ht="40.5" customHeight="1" x14ac:dyDescent="0.25">
      <c r="A118" s="83"/>
      <c r="B118" s="88"/>
      <c r="C118" s="83"/>
      <c r="D118" s="13" t="s">
        <v>6</v>
      </c>
      <c r="E118" s="46">
        <f t="shared" si="38"/>
        <v>12181.24648</v>
      </c>
      <c r="F118" s="31">
        <f>7445.973</f>
        <v>7445.973</v>
      </c>
      <c r="G118" s="44">
        <f>4184.39548+550.878</f>
        <v>4735.2734799999998</v>
      </c>
      <c r="H118" s="46">
        <v>0</v>
      </c>
      <c r="I118" s="46">
        <v>0</v>
      </c>
      <c r="J118" s="46">
        <v>0</v>
      </c>
      <c r="K118" s="46">
        <v>0</v>
      </c>
      <c r="L118" s="46">
        <v>0</v>
      </c>
    </row>
    <row r="119" spans="1:12" s="6" customFormat="1" ht="39.75" customHeight="1" x14ac:dyDescent="0.25">
      <c r="A119" s="83"/>
      <c r="B119" s="88"/>
      <c r="C119" s="83"/>
      <c r="D119" s="13" t="s">
        <v>13</v>
      </c>
      <c r="E119" s="46">
        <f t="shared" si="38"/>
        <v>0</v>
      </c>
      <c r="F119" s="48">
        <v>0</v>
      </c>
      <c r="G119" s="57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</row>
    <row r="120" spans="1:12" s="6" customFormat="1" ht="39.75" customHeight="1" x14ac:dyDescent="0.25">
      <c r="A120" s="83"/>
      <c r="B120" s="88"/>
      <c r="C120" s="83"/>
      <c r="D120" s="13" t="s">
        <v>30</v>
      </c>
      <c r="E120" s="46">
        <f t="shared" si="38"/>
        <v>0</v>
      </c>
      <c r="F120" s="48">
        <v>0</v>
      </c>
      <c r="G120" s="57"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</row>
    <row r="121" spans="1:12" s="6" customFormat="1" ht="34.5" customHeight="1" x14ac:dyDescent="0.25">
      <c r="A121" s="83"/>
      <c r="B121" s="88"/>
      <c r="C121" s="84"/>
      <c r="D121" s="13" t="s">
        <v>15</v>
      </c>
      <c r="E121" s="46">
        <f t="shared" si="38"/>
        <v>0</v>
      </c>
      <c r="F121" s="31">
        <f>16800-5900-10900</f>
        <v>0</v>
      </c>
      <c r="G121" s="44">
        <v>0</v>
      </c>
      <c r="H121" s="46">
        <v>0</v>
      </c>
      <c r="I121" s="46">
        <v>0</v>
      </c>
      <c r="J121" s="46">
        <v>0</v>
      </c>
      <c r="K121" s="46">
        <v>0</v>
      </c>
      <c r="L121" s="50">
        <v>0</v>
      </c>
    </row>
    <row r="122" spans="1:12" ht="39" customHeight="1" x14ac:dyDescent="0.25">
      <c r="A122" s="83"/>
      <c r="B122" s="88"/>
      <c r="C122" s="81" t="s">
        <v>71</v>
      </c>
      <c r="D122" s="12" t="s">
        <v>2</v>
      </c>
      <c r="E122" s="45">
        <f>E123+E124+E125+E126+E128</f>
        <v>114082.63</v>
      </c>
      <c r="F122" s="42">
        <f t="shared" ref="F122:L122" si="39">F123+F124+F125+F126+F128</f>
        <v>5900</v>
      </c>
      <c r="G122" s="43">
        <f t="shared" si="39"/>
        <v>382.63</v>
      </c>
      <c r="H122" s="45">
        <f t="shared" si="39"/>
        <v>28400</v>
      </c>
      <c r="I122" s="45">
        <f t="shared" si="39"/>
        <v>9400</v>
      </c>
      <c r="J122" s="45">
        <f t="shared" si="39"/>
        <v>35000</v>
      </c>
      <c r="K122" s="45">
        <f t="shared" si="39"/>
        <v>5000</v>
      </c>
      <c r="L122" s="45">
        <f t="shared" si="39"/>
        <v>30000</v>
      </c>
    </row>
    <row r="123" spans="1:12" ht="40.5" customHeight="1" x14ac:dyDescent="0.25">
      <c r="A123" s="83"/>
      <c r="B123" s="88"/>
      <c r="C123" s="81"/>
      <c r="D123" s="13" t="s">
        <v>14</v>
      </c>
      <c r="E123" s="46">
        <f>F123+G123+H123+I123+J123+K123+L123</f>
        <v>0</v>
      </c>
      <c r="F123" s="48">
        <v>0</v>
      </c>
      <c r="G123" s="57"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0</v>
      </c>
    </row>
    <row r="124" spans="1:12" ht="29.25" customHeight="1" x14ac:dyDescent="0.25">
      <c r="A124" s="83"/>
      <c r="B124" s="88"/>
      <c r="C124" s="81"/>
      <c r="D124" s="13" t="s">
        <v>5</v>
      </c>
      <c r="E124" s="46">
        <f t="shared" ref="E124:E128" si="40">F124+G124+H124+I124+J124+K124+L124</f>
        <v>0</v>
      </c>
      <c r="F124" s="48">
        <v>0</v>
      </c>
      <c r="G124" s="57"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</row>
    <row r="125" spans="1:12" ht="36.75" customHeight="1" x14ac:dyDescent="0.25">
      <c r="A125" s="83"/>
      <c r="B125" s="88"/>
      <c r="C125" s="81"/>
      <c r="D125" s="13" t="s">
        <v>6</v>
      </c>
      <c r="E125" s="46">
        <f t="shared" si="40"/>
        <v>6282.63</v>
      </c>
      <c r="F125" s="31">
        <f>5900</f>
        <v>5900</v>
      </c>
      <c r="G125" s="44">
        <f>382.63</f>
        <v>382.63</v>
      </c>
      <c r="H125" s="46">
        <v>0</v>
      </c>
      <c r="I125" s="46">
        <v>0</v>
      </c>
      <c r="J125" s="46">
        <v>0</v>
      </c>
      <c r="K125" s="46">
        <v>0</v>
      </c>
      <c r="L125" s="46">
        <v>0</v>
      </c>
    </row>
    <row r="126" spans="1:12" ht="28.5" customHeight="1" x14ac:dyDescent="0.25">
      <c r="A126" s="83"/>
      <c r="B126" s="88"/>
      <c r="C126" s="81"/>
      <c r="D126" s="13" t="s">
        <v>13</v>
      </c>
      <c r="E126" s="46">
        <f t="shared" si="40"/>
        <v>0</v>
      </c>
      <c r="F126" s="48">
        <v>0</v>
      </c>
      <c r="G126" s="57"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</row>
    <row r="127" spans="1:12" ht="37.5" customHeight="1" x14ac:dyDescent="0.25">
      <c r="A127" s="83"/>
      <c r="B127" s="88"/>
      <c r="C127" s="81"/>
      <c r="D127" s="13" t="s">
        <v>30</v>
      </c>
      <c r="E127" s="46">
        <f t="shared" si="40"/>
        <v>0</v>
      </c>
      <c r="F127" s="48">
        <v>0</v>
      </c>
      <c r="G127" s="57">
        <v>0</v>
      </c>
      <c r="H127" s="49">
        <v>0</v>
      </c>
      <c r="I127" s="49">
        <v>0</v>
      </c>
      <c r="J127" s="49">
        <v>0</v>
      </c>
      <c r="K127" s="49">
        <v>0</v>
      </c>
      <c r="L127" s="49">
        <v>0</v>
      </c>
    </row>
    <row r="128" spans="1:12" ht="38.25" customHeight="1" x14ac:dyDescent="0.25">
      <c r="A128" s="84"/>
      <c r="B128" s="89"/>
      <c r="C128" s="81"/>
      <c r="D128" s="13" t="s">
        <v>15</v>
      </c>
      <c r="E128" s="46">
        <f t="shared" si="40"/>
        <v>107800</v>
      </c>
      <c r="F128" s="31">
        <f>16800-5900-10900</f>
        <v>0</v>
      </c>
      <c r="G128" s="44">
        <v>0</v>
      </c>
      <c r="H128" s="46">
        <v>28400</v>
      </c>
      <c r="I128" s="46">
        <v>9400</v>
      </c>
      <c r="J128" s="46">
        <v>35000</v>
      </c>
      <c r="K128" s="46">
        <v>5000</v>
      </c>
      <c r="L128" s="50">
        <v>30000</v>
      </c>
    </row>
    <row r="129" spans="1:12" s="6" customFormat="1" ht="38.25" customHeight="1" x14ac:dyDescent="0.25">
      <c r="A129" s="85" t="s">
        <v>38</v>
      </c>
      <c r="B129" s="79" t="s">
        <v>79</v>
      </c>
      <c r="C129" s="81" t="s">
        <v>62</v>
      </c>
      <c r="D129" s="12" t="s">
        <v>2</v>
      </c>
      <c r="E129" s="45">
        <f>E130+E131+E132+E133+E135</f>
        <v>700</v>
      </c>
      <c r="F129" s="42">
        <f t="shared" ref="F129:L129" si="41">F130+F131+F132+F133+F135</f>
        <v>100</v>
      </c>
      <c r="G129" s="43">
        <f t="shared" si="41"/>
        <v>100</v>
      </c>
      <c r="H129" s="45">
        <f t="shared" si="41"/>
        <v>100</v>
      </c>
      <c r="I129" s="45">
        <f t="shared" si="41"/>
        <v>100</v>
      </c>
      <c r="J129" s="45">
        <f t="shared" si="41"/>
        <v>100</v>
      </c>
      <c r="K129" s="45">
        <f t="shared" si="41"/>
        <v>100</v>
      </c>
      <c r="L129" s="45">
        <f t="shared" si="41"/>
        <v>100</v>
      </c>
    </row>
    <row r="130" spans="1:12" s="6" customFormat="1" ht="23.25" customHeight="1" x14ac:dyDescent="0.25">
      <c r="A130" s="85"/>
      <c r="B130" s="79"/>
      <c r="C130" s="81"/>
      <c r="D130" s="13" t="s">
        <v>14</v>
      </c>
      <c r="E130" s="46">
        <f>F130+G130+H130+I130+J130+K130+L130</f>
        <v>0</v>
      </c>
      <c r="F130" s="31">
        <v>0</v>
      </c>
      <c r="G130" s="44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</v>
      </c>
    </row>
    <row r="131" spans="1:12" s="6" customFormat="1" ht="38.25" customHeight="1" x14ac:dyDescent="0.25">
      <c r="A131" s="85"/>
      <c r="B131" s="79"/>
      <c r="C131" s="81"/>
      <c r="D131" s="13" t="s">
        <v>5</v>
      </c>
      <c r="E131" s="46">
        <f t="shared" ref="E131:E135" si="42">F131+G131+H131+I131+J131+K131+L131</f>
        <v>0</v>
      </c>
      <c r="F131" s="31">
        <v>0</v>
      </c>
      <c r="G131" s="44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</row>
    <row r="132" spans="1:12" s="6" customFormat="1" ht="24" customHeight="1" x14ac:dyDescent="0.25">
      <c r="A132" s="85"/>
      <c r="B132" s="79"/>
      <c r="C132" s="81"/>
      <c r="D132" s="13" t="s">
        <v>6</v>
      </c>
      <c r="E132" s="46">
        <f t="shared" si="42"/>
        <v>500</v>
      </c>
      <c r="F132" s="31">
        <v>100</v>
      </c>
      <c r="G132" s="44">
        <v>100</v>
      </c>
      <c r="H132" s="46">
        <v>100</v>
      </c>
      <c r="I132" s="46">
        <v>100</v>
      </c>
      <c r="J132" s="46">
        <v>100</v>
      </c>
      <c r="K132" s="46">
        <v>0</v>
      </c>
      <c r="L132" s="46">
        <v>0</v>
      </c>
    </row>
    <row r="133" spans="1:12" s="6" customFormat="1" ht="53.25" customHeight="1" x14ac:dyDescent="0.25">
      <c r="A133" s="85"/>
      <c r="B133" s="79"/>
      <c r="C133" s="81"/>
      <c r="D133" s="13" t="s">
        <v>13</v>
      </c>
      <c r="E133" s="46">
        <f t="shared" si="42"/>
        <v>0</v>
      </c>
      <c r="F133" s="31">
        <v>0</v>
      </c>
      <c r="G133" s="44">
        <v>0</v>
      </c>
      <c r="H133" s="46">
        <v>0</v>
      </c>
      <c r="I133" s="46">
        <v>0</v>
      </c>
      <c r="J133" s="46">
        <v>0</v>
      </c>
      <c r="K133" s="46">
        <v>0</v>
      </c>
      <c r="L133" s="46">
        <v>0</v>
      </c>
    </row>
    <row r="134" spans="1:12" s="6" customFormat="1" ht="21.75" customHeight="1" x14ac:dyDescent="0.25">
      <c r="A134" s="85"/>
      <c r="B134" s="79"/>
      <c r="C134" s="81"/>
      <c r="D134" s="13" t="s">
        <v>30</v>
      </c>
      <c r="E134" s="46">
        <f t="shared" si="42"/>
        <v>0</v>
      </c>
      <c r="F134" s="31">
        <v>0</v>
      </c>
      <c r="G134" s="44">
        <v>0</v>
      </c>
      <c r="H134" s="46">
        <v>0</v>
      </c>
      <c r="I134" s="46">
        <v>0</v>
      </c>
      <c r="J134" s="46">
        <v>0</v>
      </c>
      <c r="K134" s="46">
        <v>0</v>
      </c>
      <c r="L134" s="46">
        <v>0</v>
      </c>
    </row>
    <row r="135" spans="1:12" s="6" customFormat="1" ht="33" customHeight="1" x14ac:dyDescent="0.25">
      <c r="A135" s="85"/>
      <c r="B135" s="79"/>
      <c r="C135" s="81"/>
      <c r="D135" s="13" t="s">
        <v>15</v>
      </c>
      <c r="E135" s="46">
        <f t="shared" si="42"/>
        <v>200</v>
      </c>
      <c r="F135" s="31">
        <v>0</v>
      </c>
      <c r="G135" s="44"/>
      <c r="H135" s="46"/>
      <c r="I135" s="46"/>
      <c r="J135" s="46">
        <v>0</v>
      </c>
      <c r="K135" s="46">
        <v>100</v>
      </c>
      <c r="L135" s="50">
        <v>100</v>
      </c>
    </row>
    <row r="136" spans="1:12" s="6" customFormat="1" ht="21.75" customHeight="1" x14ac:dyDescent="0.25">
      <c r="A136" s="85" t="s">
        <v>39</v>
      </c>
      <c r="B136" s="79" t="s">
        <v>80</v>
      </c>
      <c r="C136" s="81" t="s">
        <v>19</v>
      </c>
      <c r="D136" s="12" t="s">
        <v>2</v>
      </c>
      <c r="E136" s="46">
        <f>E137+E138+E139+E140+E142</f>
        <v>700</v>
      </c>
      <c r="F136" s="31">
        <f t="shared" ref="F136:L136" si="43">F137+F138+F139+F140+F142</f>
        <v>100</v>
      </c>
      <c r="G136" s="44">
        <f t="shared" si="43"/>
        <v>100</v>
      </c>
      <c r="H136" s="46">
        <f t="shared" si="43"/>
        <v>100</v>
      </c>
      <c r="I136" s="46">
        <f t="shared" si="43"/>
        <v>100</v>
      </c>
      <c r="J136" s="46">
        <f t="shared" si="43"/>
        <v>100</v>
      </c>
      <c r="K136" s="46">
        <f t="shared" si="43"/>
        <v>100</v>
      </c>
      <c r="L136" s="46">
        <f t="shared" si="43"/>
        <v>100</v>
      </c>
    </row>
    <row r="137" spans="1:12" s="6" customFormat="1" ht="26.25" customHeight="1" x14ac:dyDescent="0.25">
      <c r="A137" s="85"/>
      <c r="B137" s="79"/>
      <c r="C137" s="81"/>
      <c r="D137" s="13" t="s">
        <v>14</v>
      </c>
      <c r="E137" s="46">
        <f>F137+G137+H137+I137+J137+K137+L137</f>
        <v>0</v>
      </c>
      <c r="F137" s="31">
        <v>0</v>
      </c>
      <c r="G137" s="44">
        <v>0</v>
      </c>
      <c r="H137" s="46">
        <v>0</v>
      </c>
      <c r="I137" s="46">
        <v>0</v>
      </c>
      <c r="J137" s="46">
        <v>0</v>
      </c>
      <c r="K137" s="46">
        <v>0</v>
      </c>
      <c r="L137" s="46">
        <v>0</v>
      </c>
    </row>
    <row r="138" spans="1:12" s="6" customFormat="1" ht="33.75" customHeight="1" x14ac:dyDescent="0.25">
      <c r="A138" s="85"/>
      <c r="B138" s="79"/>
      <c r="C138" s="81"/>
      <c r="D138" s="13" t="s">
        <v>5</v>
      </c>
      <c r="E138" s="46">
        <f t="shared" ref="E138:E142" si="44">F138+G138+H138+I138+J138+K138+L138</f>
        <v>0</v>
      </c>
      <c r="F138" s="31">
        <v>0</v>
      </c>
      <c r="G138" s="44">
        <v>0</v>
      </c>
      <c r="H138" s="46">
        <v>0</v>
      </c>
      <c r="I138" s="46">
        <v>0</v>
      </c>
      <c r="J138" s="46">
        <v>0</v>
      </c>
      <c r="K138" s="46">
        <v>0</v>
      </c>
      <c r="L138" s="46">
        <v>0</v>
      </c>
    </row>
    <row r="139" spans="1:12" s="6" customFormat="1" ht="24" customHeight="1" x14ac:dyDescent="0.25">
      <c r="A139" s="85"/>
      <c r="B139" s="79"/>
      <c r="C139" s="81"/>
      <c r="D139" s="13" t="s">
        <v>6</v>
      </c>
      <c r="E139" s="46">
        <f t="shared" si="44"/>
        <v>0</v>
      </c>
      <c r="F139" s="31">
        <v>0</v>
      </c>
      <c r="G139" s="44">
        <v>0</v>
      </c>
      <c r="H139" s="46">
        <v>0</v>
      </c>
      <c r="I139" s="46">
        <v>0</v>
      </c>
      <c r="J139" s="46">
        <v>0</v>
      </c>
      <c r="K139" s="46">
        <v>0</v>
      </c>
      <c r="L139" s="46">
        <v>0</v>
      </c>
    </row>
    <row r="140" spans="1:12" s="6" customFormat="1" ht="48" customHeight="1" x14ac:dyDescent="0.25">
      <c r="A140" s="85"/>
      <c r="B140" s="79"/>
      <c r="C140" s="81"/>
      <c r="D140" s="13" t="s">
        <v>13</v>
      </c>
      <c r="E140" s="46">
        <f t="shared" si="44"/>
        <v>0</v>
      </c>
      <c r="F140" s="31">
        <v>0</v>
      </c>
      <c r="G140" s="44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</row>
    <row r="141" spans="1:12" s="6" customFormat="1" ht="23.25" customHeight="1" x14ac:dyDescent="0.25">
      <c r="A141" s="85"/>
      <c r="B141" s="79"/>
      <c r="C141" s="81"/>
      <c r="D141" s="13" t="s">
        <v>30</v>
      </c>
      <c r="E141" s="46">
        <f t="shared" si="44"/>
        <v>0</v>
      </c>
      <c r="F141" s="31">
        <v>0</v>
      </c>
      <c r="G141" s="44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</row>
    <row r="142" spans="1:12" s="6" customFormat="1" ht="26.25" customHeight="1" x14ac:dyDescent="0.25">
      <c r="A142" s="85"/>
      <c r="B142" s="79"/>
      <c r="C142" s="81"/>
      <c r="D142" s="13" t="s">
        <v>15</v>
      </c>
      <c r="E142" s="46">
        <f t="shared" si="44"/>
        <v>700</v>
      </c>
      <c r="F142" s="31">
        <v>100</v>
      </c>
      <c r="G142" s="44">
        <v>100</v>
      </c>
      <c r="H142" s="46">
        <v>100</v>
      </c>
      <c r="I142" s="46">
        <v>100</v>
      </c>
      <c r="J142" s="46">
        <v>100</v>
      </c>
      <c r="K142" s="46">
        <v>100</v>
      </c>
      <c r="L142" s="46">
        <v>100</v>
      </c>
    </row>
    <row r="143" spans="1:12" s="6" customFormat="1" ht="25.5" customHeight="1" x14ac:dyDescent="0.25">
      <c r="A143" s="85" t="s">
        <v>40</v>
      </c>
      <c r="B143" s="79" t="s">
        <v>81</v>
      </c>
      <c r="C143" s="81" t="s">
        <v>19</v>
      </c>
      <c r="D143" s="12" t="s">
        <v>2</v>
      </c>
      <c r="E143" s="45">
        <f>E144+E145+E146+E147+E149</f>
        <v>1735.105</v>
      </c>
      <c r="F143" s="42">
        <f t="shared" ref="F143:L143" si="45">F144+F145+F146+F147+F149</f>
        <v>64.292000000000002</v>
      </c>
      <c r="G143" s="43">
        <f t="shared" si="45"/>
        <v>420.81299999999999</v>
      </c>
      <c r="H143" s="45">
        <f t="shared" si="45"/>
        <v>250</v>
      </c>
      <c r="I143" s="45">
        <f t="shared" si="45"/>
        <v>500</v>
      </c>
      <c r="J143" s="45">
        <f t="shared" si="45"/>
        <v>500</v>
      </c>
      <c r="K143" s="45">
        <f t="shared" si="45"/>
        <v>0</v>
      </c>
      <c r="L143" s="45">
        <f t="shared" si="45"/>
        <v>0</v>
      </c>
    </row>
    <row r="144" spans="1:12" s="6" customFormat="1" ht="26.25" customHeight="1" x14ac:dyDescent="0.25">
      <c r="A144" s="85"/>
      <c r="B144" s="79"/>
      <c r="C144" s="81"/>
      <c r="D144" s="13" t="s">
        <v>14</v>
      </c>
      <c r="E144" s="46">
        <f>F144+G144+H144+I144+J144+K144+L144</f>
        <v>0</v>
      </c>
      <c r="F144" s="31">
        <v>0</v>
      </c>
      <c r="G144" s="44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</row>
    <row r="145" spans="1:13" s="6" customFormat="1" ht="36.75" customHeight="1" x14ac:dyDescent="0.25">
      <c r="A145" s="85"/>
      <c r="B145" s="79"/>
      <c r="C145" s="81"/>
      <c r="D145" s="13" t="s">
        <v>5</v>
      </c>
      <c r="E145" s="46">
        <f t="shared" ref="E145:E149" si="46">F145+G145+H145+I145+J145+K145+L145</f>
        <v>0</v>
      </c>
      <c r="F145" s="31">
        <v>0</v>
      </c>
      <c r="G145" s="44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0</v>
      </c>
    </row>
    <row r="146" spans="1:13" s="6" customFormat="1" ht="33.75" customHeight="1" x14ac:dyDescent="0.25">
      <c r="A146" s="85"/>
      <c r="B146" s="79"/>
      <c r="C146" s="81"/>
      <c r="D146" s="13" t="s">
        <v>6</v>
      </c>
      <c r="E146" s="46">
        <f t="shared" si="46"/>
        <v>1235.105</v>
      </c>
      <c r="F146" s="31">
        <f>58.895+5.397</f>
        <v>64.292000000000002</v>
      </c>
      <c r="G146" s="44">
        <f>500-79.187</f>
        <v>420.81299999999999</v>
      </c>
      <c r="H146" s="46">
        <v>250</v>
      </c>
      <c r="I146" s="46">
        <v>0</v>
      </c>
      <c r="J146" s="46">
        <v>500</v>
      </c>
      <c r="K146" s="46">
        <v>0</v>
      </c>
      <c r="L146" s="46">
        <v>0</v>
      </c>
    </row>
    <row r="147" spans="1:13" s="6" customFormat="1" ht="26.25" customHeight="1" x14ac:dyDescent="0.25">
      <c r="A147" s="85"/>
      <c r="B147" s="79"/>
      <c r="C147" s="81"/>
      <c r="D147" s="13" t="s">
        <v>13</v>
      </c>
      <c r="E147" s="46">
        <f t="shared" si="46"/>
        <v>0</v>
      </c>
      <c r="F147" s="31">
        <v>0</v>
      </c>
      <c r="G147" s="44">
        <v>0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</row>
    <row r="148" spans="1:13" s="6" customFormat="1" ht="29.25" customHeight="1" x14ac:dyDescent="0.25">
      <c r="A148" s="85"/>
      <c r="B148" s="79"/>
      <c r="C148" s="81"/>
      <c r="D148" s="13" t="s">
        <v>30</v>
      </c>
      <c r="E148" s="46">
        <f t="shared" si="46"/>
        <v>0</v>
      </c>
      <c r="F148" s="31">
        <v>0</v>
      </c>
      <c r="G148" s="44">
        <v>0</v>
      </c>
      <c r="H148" s="46">
        <v>0</v>
      </c>
      <c r="I148" s="46">
        <v>0</v>
      </c>
      <c r="J148" s="46">
        <v>0</v>
      </c>
      <c r="K148" s="46">
        <v>0</v>
      </c>
      <c r="L148" s="46">
        <v>0</v>
      </c>
    </row>
    <row r="149" spans="1:13" s="6" customFormat="1" ht="24" customHeight="1" x14ac:dyDescent="0.25">
      <c r="A149" s="85"/>
      <c r="B149" s="79"/>
      <c r="C149" s="81"/>
      <c r="D149" s="13" t="s">
        <v>15</v>
      </c>
      <c r="E149" s="46">
        <f t="shared" si="46"/>
        <v>500</v>
      </c>
      <c r="F149" s="41">
        <f>1623-1623</f>
        <v>0</v>
      </c>
      <c r="G149" s="44">
        <f>801.98-500-201.98-100</f>
        <v>0</v>
      </c>
      <c r="H149" s="44">
        <v>0</v>
      </c>
      <c r="I149" s="44">
        <v>500</v>
      </c>
      <c r="J149" s="44">
        <v>0</v>
      </c>
      <c r="K149" s="44">
        <v>0</v>
      </c>
      <c r="L149" s="50">
        <v>0</v>
      </c>
    </row>
    <row r="150" spans="1:13" ht="25.5" customHeight="1" x14ac:dyDescent="0.25">
      <c r="A150" s="95" t="s">
        <v>25</v>
      </c>
      <c r="B150" s="95"/>
      <c r="C150" s="95"/>
      <c r="D150" s="15" t="s">
        <v>2</v>
      </c>
      <c r="E150" s="43">
        <f>E151+E152+E153+E154+E156</f>
        <v>129398.98148</v>
      </c>
      <c r="F150" s="40">
        <f t="shared" ref="F150:L150" si="47">F151+F152+F153+F154+F156</f>
        <v>13610.264999999999</v>
      </c>
      <c r="G150" s="43">
        <f t="shared" si="47"/>
        <v>5738.71648</v>
      </c>
      <c r="H150" s="43">
        <f t="shared" si="47"/>
        <v>28850</v>
      </c>
      <c r="I150" s="43">
        <f t="shared" si="47"/>
        <v>10100</v>
      </c>
      <c r="J150" s="43">
        <f t="shared" si="47"/>
        <v>35700</v>
      </c>
      <c r="K150" s="43">
        <f t="shared" si="47"/>
        <v>5200</v>
      </c>
      <c r="L150" s="43">
        <f t="shared" si="47"/>
        <v>30200</v>
      </c>
    </row>
    <row r="151" spans="1:13" ht="28.5" customHeight="1" x14ac:dyDescent="0.25">
      <c r="A151" s="95"/>
      <c r="B151" s="95"/>
      <c r="C151" s="95"/>
      <c r="D151" s="16" t="s">
        <v>14</v>
      </c>
      <c r="E151" s="44">
        <f>F151+G151+H151+I151+J151+K151+L151</f>
        <v>0</v>
      </c>
      <c r="F151" s="41">
        <f>F116+F123+F130+F137+F144</f>
        <v>0</v>
      </c>
      <c r="G151" s="44">
        <f t="shared" ref="G151:L151" si="48">G116+G123+G130+G137+G144</f>
        <v>0</v>
      </c>
      <c r="H151" s="44">
        <f t="shared" si="48"/>
        <v>0</v>
      </c>
      <c r="I151" s="44">
        <f t="shared" si="48"/>
        <v>0</v>
      </c>
      <c r="J151" s="44">
        <f t="shared" si="48"/>
        <v>0</v>
      </c>
      <c r="K151" s="44">
        <f t="shared" si="48"/>
        <v>0</v>
      </c>
      <c r="L151" s="44">
        <f t="shared" si="48"/>
        <v>0</v>
      </c>
    </row>
    <row r="152" spans="1:13" ht="35.25" customHeight="1" x14ac:dyDescent="0.25">
      <c r="A152" s="95"/>
      <c r="B152" s="95"/>
      <c r="C152" s="95"/>
      <c r="D152" s="16" t="s">
        <v>5</v>
      </c>
      <c r="E152" s="44">
        <f t="shared" ref="E152:E156" si="49">F152+G152+H152+I152+J152+K152+L152</f>
        <v>0</v>
      </c>
      <c r="F152" s="41">
        <f t="shared" ref="F152:L152" si="50">F117+F124+F131+F138+F145</f>
        <v>0</v>
      </c>
      <c r="G152" s="44">
        <f t="shared" si="50"/>
        <v>0</v>
      </c>
      <c r="H152" s="44">
        <f t="shared" si="50"/>
        <v>0</v>
      </c>
      <c r="I152" s="44">
        <f t="shared" si="50"/>
        <v>0</v>
      </c>
      <c r="J152" s="44">
        <f t="shared" si="50"/>
        <v>0</v>
      </c>
      <c r="K152" s="44">
        <f t="shared" si="50"/>
        <v>0</v>
      </c>
      <c r="L152" s="44">
        <f t="shared" si="50"/>
        <v>0</v>
      </c>
    </row>
    <row r="153" spans="1:13" ht="22.5" customHeight="1" x14ac:dyDescent="0.25">
      <c r="A153" s="95"/>
      <c r="B153" s="95"/>
      <c r="C153" s="95"/>
      <c r="D153" s="16" t="s">
        <v>6</v>
      </c>
      <c r="E153" s="44">
        <f t="shared" si="49"/>
        <v>20198.981479999999</v>
      </c>
      <c r="F153" s="41">
        <f t="shared" ref="F153:L153" si="51">F118+F125+F132+F139+F146</f>
        <v>13510.264999999999</v>
      </c>
      <c r="G153" s="44">
        <f t="shared" si="51"/>
        <v>5638.71648</v>
      </c>
      <c r="H153" s="44">
        <f t="shared" si="51"/>
        <v>350</v>
      </c>
      <c r="I153" s="44">
        <f t="shared" si="51"/>
        <v>100</v>
      </c>
      <c r="J153" s="44">
        <f t="shared" si="51"/>
        <v>600</v>
      </c>
      <c r="K153" s="44">
        <f t="shared" si="51"/>
        <v>0</v>
      </c>
      <c r="L153" s="44">
        <f t="shared" si="51"/>
        <v>0</v>
      </c>
    </row>
    <row r="154" spans="1:13" ht="42" customHeight="1" x14ac:dyDescent="0.25">
      <c r="A154" s="95"/>
      <c r="B154" s="95"/>
      <c r="C154" s="95"/>
      <c r="D154" s="16" t="s">
        <v>13</v>
      </c>
      <c r="E154" s="44">
        <f t="shared" si="49"/>
        <v>0</v>
      </c>
      <c r="F154" s="41">
        <f t="shared" ref="F154:L154" si="52">F119+F126+F133+F140+F147</f>
        <v>0</v>
      </c>
      <c r="G154" s="44">
        <f t="shared" si="52"/>
        <v>0</v>
      </c>
      <c r="H154" s="44">
        <f t="shared" si="52"/>
        <v>0</v>
      </c>
      <c r="I154" s="44">
        <f t="shared" si="52"/>
        <v>0</v>
      </c>
      <c r="J154" s="44">
        <f t="shared" si="52"/>
        <v>0</v>
      </c>
      <c r="K154" s="44">
        <f t="shared" si="52"/>
        <v>0</v>
      </c>
      <c r="L154" s="44">
        <f t="shared" si="52"/>
        <v>0</v>
      </c>
    </row>
    <row r="155" spans="1:13" ht="24" customHeight="1" x14ac:dyDescent="0.25">
      <c r="A155" s="95"/>
      <c r="B155" s="95"/>
      <c r="C155" s="95"/>
      <c r="D155" s="16" t="s">
        <v>30</v>
      </c>
      <c r="E155" s="44">
        <f t="shared" si="49"/>
        <v>0</v>
      </c>
      <c r="F155" s="41">
        <f t="shared" ref="F155:L155" si="53">F120+F127+F134+F141+F148</f>
        <v>0</v>
      </c>
      <c r="G155" s="44">
        <f t="shared" si="53"/>
        <v>0</v>
      </c>
      <c r="H155" s="44">
        <f t="shared" si="53"/>
        <v>0</v>
      </c>
      <c r="I155" s="44">
        <f t="shared" si="53"/>
        <v>0</v>
      </c>
      <c r="J155" s="44">
        <f t="shared" si="53"/>
        <v>0</v>
      </c>
      <c r="K155" s="44">
        <f t="shared" si="53"/>
        <v>0</v>
      </c>
      <c r="L155" s="44">
        <f t="shared" si="53"/>
        <v>0</v>
      </c>
    </row>
    <row r="156" spans="1:13" ht="25.5" customHeight="1" x14ac:dyDescent="0.25">
      <c r="A156" s="95"/>
      <c r="B156" s="95"/>
      <c r="C156" s="95"/>
      <c r="D156" s="16" t="s">
        <v>15</v>
      </c>
      <c r="E156" s="44">
        <f t="shared" si="49"/>
        <v>109200</v>
      </c>
      <c r="F156" s="41">
        <f t="shared" ref="F156:L156" si="54">F121+F128+F135+F142+F149</f>
        <v>100</v>
      </c>
      <c r="G156" s="44">
        <f t="shared" si="54"/>
        <v>100</v>
      </c>
      <c r="H156" s="44">
        <f t="shared" si="54"/>
        <v>28500</v>
      </c>
      <c r="I156" s="44">
        <f t="shared" si="54"/>
        <v>10000</v>
      </c>
      <c r="J156" s="44">
        <f t="shared" si="54"/>
        <v>35100</v>
      </c>
      <c r="K156" s="44">
        <f t="shared" si="54"/>
        <v>5200</v>
      </c>
      <c r="L156" s="44">
        <f t="shared" si="54"/>
        <v>30200</v>
      </c>
    </row>
    <row r="157" spans="1:13" ht="25.5" customHeight="1" x14ac:dyDescent="0.25">
      <c r="A157" s="97" t="s">
        <v>50</v>
      </c>
      <c r="B157" s="97"/>
      <c r="C157" s="97"/>
      <c r="D157" s="97"/>
      <c r="E157" s="97"/>
      <c r="F157" s="97"/>
      <c r="G157" s="97"/>
      <c r="H157" s="97"/>
      <c r="I157" s="97"/>
      <c r="J157" s="97"/>
      <c r="K157" s="97"/>
      <c r="L157" s="97"/>
    </row>
    <row r="158" spans="1:13" s="32" customFormat="1" ht="25.5" customHeight="1" x14ac:dyDescent="0.25">
      <c r="A158" s="72" t="s">
        <v>49</v>
      </c>
      <c r="B158" s="96" t="s">
        <v>89</v>
      </c>
      <c r="C158" s="72" t="s">
        <v>60</v>
      </c>
      <c r="D158" s="15" t="s">
        <v>2</v>
      </c>
      <c r="E158" s="43">
        <f>E159+E160+E161+E162+E164</f>
        <v>78927.84663</v>
      </c>
      <c r="F158" s="40">
        <f t="shared" ref="F158:L158" si="55">F159+F160+F161+F162+F164</f>
        <v>45827.839229999998</v>
      </c>
      <c r="G158" s="43">
        <f>G159+G160+G161+G162+G164</f>
        <v>8685.2564300000013</v>
      </c>
      <c r="H158" s="43">
        <f t="shared" si="55"/>
        <v>9331.000970000001</v>
      </c>
      <c r="I158" s="43">
        <f t="shared" si="55"/>
        <v>7541.8750000000009</v>
      </c>
      <c r="J158" s="43">
        <f t="shared" si="55"/>
        <v>7541.8750000000009</v>
      </c>
      <c r="K158" s="43">
        <f t="shared" si="55"/>
        <v>0</v>
      </c>
      <c r="L158" s="43">
        <f t="shared" si="55"/>
        <v>0</v>
      </c>
    </row>
    <row r="159" spans="1:13" ht="25.5" customHeight="1" x14ac:dyDescent="0.25">
      <c r="A159" s="72"/>
      <c r="B159" s="96"/>
      <c r="C159" s="72"/>
      <c r="D159" s="16" t="s">
        <v>14</v>
      </c>
      <c r="E159" s="44">
        <f>F159+G159+H159+I159+J159+K159+L159</f>
        <v>14397.028700000001</v>
      </c>
      <c r="F159" s="41">
        <f>F245+F280</f>
        <v>4597.5286999999998</v>
      </c>
      <c r="G159" s="44">
        <f>G238+G245+G252+G259+G266+G273+G280+G287</f>
        <v>2709.8</v>
      </c>
      <c r="H159" s="44">
        <f>H238+H245+H252+H259+H273+H280+H266</f>
        <v>2383.5</v>
      </c>
      <c r="I159" s="44">
        <f t="shared" ref="I159:J159" si="56">I238+I245+I252+I259+I273+I280+I266</f>
        <v>2353.1000000000004</v>
      </c>
      <c r="J159" s="44">
        <f t="shared" si="56"/>
        <v>2353.1000000000004</v>
      </c>
      <c r="K159" s="44">
        <f t="shared" ref="K159:L159" si="57">K238+K245+K252+K259+K266+K273+K280+K287</f>
        <v>0</v>
      </c>
      <c r="L159" s="44">
        <f t="shared" si="57"/>
        <v>0</v>
      </c>
    </row>
    <row r="160" spans="1:13" ht="33.75" customHeight="1" x14ac:dyDescent="0.25">
      <c r="A160" s="72"/>
      <c r="B160" s="96"/>
      <c r="C160" s="72"/>
      <c r="D160" s="16" t="s">
        <v>5</v>
      </c>
      <c r="E160" s="44">
        <f t="shared" ref="E160:E164" si="58">F160+G160+H160+I160+J160+K160+L160</f>
        <v>33331.592960000002</v>
      </c>
      <c r="F160" s="41">
        <f>4548+95.30467+1617.9782+1273.85088+1273.85088+9195.4032</f>
        <v>18004.38783</v>
      </c>
      <c r="G160" s="44">
        <v>4238.4051300000001</v>
      </c>
      <c r="H160" s="44">
        <f>H239+H246+H253+H260+H274+H281+H267</f>
        <v>3728</v>
      </c>
      <c r="I160" s="44">
        <f t="shared" ref="I160:J160" si="59">I239+I246+I253+I260+I274+I281+I267</f>
        <v>3680.4000000000005</v>
      </c>
      <c r="J160" s="44">
        <f t="shared" si="59"/>
        <v>3680.4000000000005</v>
      </c>
      <c r="K160" s="44">
        <f t="shared" ref="K160:L160" si="60">K239+K246+K253+K260+K267+K274+K281+K288</f>
        <v>0</v>
      </c>
      <c r="L160" s="44">
        <f t="shared" si="60"/>
        <v>0</v>
      </c>
      <c r="M160" s="11"/>
    </row>
    <row r="161" spans="1:15" ht="27.75" customHeight="1" x14ac:dyDescent="0.25">
      <c r="A161" s="72"/>
      <c r="B161" s="96"/>
      <c r="C161" s="72"/>
      <c r="D161" s="16" t="s">
        <v>6</v>
      </c>
      <c r="E161" s="44">
        <f t="shared" si="58"/>
        <v>31199.224969999999</v>
      </c>
      <c r="F161" s="41">
        <f>1902.99372+4818.731+12889.64983+522.07004+404.49455+522.07003+2298.8508-132.93727</f>
        <v>23225.922699999999</v>
      </c>
      <c r="G161" s="44">
        <f>G240-1985.59499</f>
        <v>1737.0513000000001</v>
      </c>
      <c r="H161" s="44">
        <f t="shared" ref="H161:J161" si="61">H240+H247+H254+H261+H275+H282+H268</f>
        <v>3219.5009700000001</v>
      </c>
      <c r="I161" s="44">
        <f t="shared" si="61"/>
        <v>1508.375</v>
      </c>
      <c r="J161" s="44">
        <f t="shared" si="61"/>
        <v>1508.375</v>
      </c>
      <c r="K161" s="44">
        <f t="shared" ref="K161:L161" si="62">K240+K247+K254+K261+K268+K275+K282+K289</f>
        <v>0</v>
      </c>
      <c r="L161" s="44">
        <f t="shared" si="62"/>
        <v>0</v>
      </c>
      <c r="M161" s="18"/>
    </row>
    <row r="162" spans="1:15" ht="32.25" customHeight="1" x14ac:dyDescent="0.25">
      <c r="A162" s="72"/>
      <c r="B162" s="96"/>
      <c r="C162" s="72"/>
      <c r="D162" s="16" t="s">
        <v>13</v>
      </c>
      <c r="E162" s="44">
        <f t="shared" si="58"/>
        <v>0</v>
      </c>
      <c r="F162" s="41">
        <v>0</v>
      </c>
      <c r="G162" s="44">
        <f t="shared" ref="G162:L162" si="63">G241+G248+G255+G262+G269+G276+G283+G290</f>
        <v>0</v>
      </c>
      <c r="H162" s="44">
        <f t="shared" si="63"/>
        <v>0</v>
      </c>
      <c r="I162" s="44">
        <f t="shared" si="63"/>
        <v>0</v>
      </c>
      <c r="J162" s="44">
        <f t="shared" si="63"/>
        <v>0</v>
      </c>
      <c r="K162" s="44">
        <f t="shared" si="63"/>
        <v>0</v>
      </c>
      <c r="L162" s="44">
        <f t="shared" si="63"/>
        <v>0</v>
      </c>
      <c r="M162" s="4"/>
    </row>
    <row r="163" spans="1:15" ht="25.5" customHeight="1" x14ac:dyDescent="0.25">
      <c r="A163" s="72"/>
      <c r="B163" s="96"/>
      <c r="C163" s="72"/>
      <c r="D163" s="16" t="s">
        <v>30</v>
      </c>
      <c r="E163" s="44">
        <f t="shared" si="58"/>
        <v>53448.483329999995</v>
      </c>
      <c r="F163" s="41">
        <f>F242+F249+F256+F263+F270+F277+F284+F291-9648.27332</f>
        <v>10947.907329999998</v>
      </c>
      <c r="G163" s="44">
        <f>G242+G249+G256+G263+G270+G277+G284+G291-1890.23373-51.51515</f>
        <v>24438.730000000003</v>
      </c>
      <c r="H163" s="44">
        <f>9500+2000+4000+500+300+311.966</f>
        <v>16611.966</v>
      </c>
      <c r="I163" s="44">
        <f t="shared" ref="I163:L163" si="64">I242+I249+I256+I263+I270+I277+I284+I291</f>
        <v>686</v>
      </c>
      <c r="J163" s="44">
        <f t="shared" si="64"/>
        <v>0</v>
      </c>
      <c r="K163" s="44">
        <f t="shared" si="64"/>
        <v>763.88</v>
      </c>
      <c r="L163" s="44">
        <f t="shared" si="64"/>
        <v>0</v>
      </c>
    </row>
    <row r="164" spans="1:15" ht="25.5" customHeight="1" x14ac:dyDescent="0.25">
      <c r="A164" s="72"/>
      <c r="B164" s="96"/>
      <c r="C164" s="72"/>
      <c r="D164" s="16" t="s">
        <v>15</v>
      </c>
      <c r="E164" s="44">
        <f t="shared" si="58"/>
        <v>0</v>
      </c>
      <c r="F164" s="41">
        <f>F250</f>
        <v>0</v>
      </c>
      <c r="G164" s="44">
        <f>G243+G250+G257+G264+G271+G278+G285+G292</f>
        <v>0</v>
      </c>
      <c r="H164" s="44">
        <f t="shared" ref="H164:L164" si="65">H243+H250+H257+H264+H271+H278+H285+H292</f>
        <v>0</v>
      </c>
      <c r="I164" s="44">
        <f t="shared" si="65"/>
        <v>0</v>
      </c>
      <c r="J164" s="44">
        <f t="shared" si="65"/>
        <v>0</v>
      </c>
      <c r="K164" s="44">
        <f t="shared" si="65"/>
        <v>0</v>
      </c>
      <c r="L164" s="44">
        <f t="shared" si="65"/>
        <v>0</v>
      </c>
    </row>
    <row r="165" spans="1:15" s="32" customFormat="1" ht="25.5" customHeight="1" x14ac:dyDescent="0.25">
      <c r="A165" s="72" t="s">
        <v>51</v>
      </c>
      <c r="B165" s="96" t="s">
        <v>82</v>
      </c>
      <c r="C165" s="72" t="s">
        <v>88</v>
      </c>
      <c r="D165" s="15" t="s">
        <v>2</v>
      </c>
      <c r="E165" s="43">
        <f>E166+E167+E168+E169+E171</f>
        <v>191353.95426</v>
      </c>
      <c r="F165" s="40">
        <f t="shared" ref="F165:L165" si="66">F166+F167+F168+F169+F171</f>
        <v>31524.17885</v>
      </c>
      <c r="G165" s="43">
        <f t="shared" si="66"/>
        <v>32205.28198</v>
      </c>
      <c r="H165" s="43">
        <f t="shared" si="66"/>
        <v>28624.493429999999</v>
      </c>
      <c r="I165" s="43">
        <f t="shared" si="66"/>
        <v>33000</v>
      </c>
      <c r="J165" s="43">
        <f t="shared" si="66"/>
        <v>33000</v>
      </c>
      <c r="K165" s="43">
        <f t="shared" si="66"/>
        <v>33000</v>
      </c>
      <c r="L165" s="43">
        <f t="shared" si="66"/>
        <v>0</v>
      </c>
    </row>
    <row r="166" spans="1:15" ht="22.5" customHeight="1" x14ac:dyDescent="0.25">
      <c r="A166" s="72"/>
      <c r="B166" s="96"/>
      <c r="C166" s="72"/>
      <c r="D166" s="16" t="s">
        <v>14</v>
      </c>
      <c r="E166" s="44">
        <f>F166+G166+H166+I166+J166+K166+L166</f>
        <v>0</v>
      </c>
      <c r="F166" s="41">
        <v>0</v>
      </c>
      <c r="G166" s="44">
        <v>0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  <c r="O166" s="14"/>
    </row>
    <row r="167" spans="1:15" ht="23.25" customHeight="1" x14ac:dyDescent="0.25">
      <c r="A167" s="72"/>
      <c r="B167" s="96"/>
      <c r="C167" s="72"/>
      <c r="D167" s="16" t="s">
        <v>5</v>
      </c>
      <c r="E167" s="44">
        <f t="shared" ref="E167:E170" si="67">F167+G167+H167+I167+J167+K167+L167</f>
        <v>5100</v>
      </c>
      <c r="F167" s="41">
        <v>0</v>
      </c>
      <c r="G167" s="44">
        <v>5100</v>
      </c>
      <c r="H167" s="44">
        <v>0</v>
      </c>
      <c r="I167" s="44">
        <v>0</v>
      </c>
      <c r="J167" s="44">
        <v>0</v>
      </c>
      <c r="K167" s="44">
        <v>0</v>
      </c>
      <c r="L167" s="44">
        <v>0</v>
      </c>
    </row>
    <row r="168" spans="1:15" ht="25.5" customHeight="1" x14ac:dyDescent="0.25">
      <c r="A168" s="72"/>
      <c r="B168" s="96"/>
      <c r="C168" s="72"/>
      <c r="D168" s="16" t="s">
        <v>6</v>
      </c>
      <c r="E168" s="44">
        <f>F168+G168+H168+I168+J168+K168+L168</f>
        <v>153173.95426</v>
      </c>
      <c r="F168" s="41">
        <f>33000-1555.82115</f>
        <v>31444.17885</v>
      </c>
      <c r="G168" s="44">
        <f>28579.30598-1474.024</f>
        <v>27105.28198</v>
      </c>
      <c r="H168" s="44">
        <v>28624.493429999999</v>
      </c>
      <c r="I168" s="44">
        <v>33000</v>
      </c>
      <c r="J168" s="44">
        <v>33000</v>
      </c>
      <c r="K168" s="44">
        <v>0</v>
      </c>
      <c r="L168" s="44">
        <v>0</v>
      </c>
    </row>
    <row r="169" spans="1:15" ht="37.5" customHeight="1" x14ac:dyDescent="0.25">
      <c r="A169" s="72"/>
      <c r="B169" s="96"/>
      <c r="C169" s="72"/>
      <c r="D169" s="16" t="s">
        <v>13</v>
      </c>
      <c r="E169" s="44">
        <f t="shared" si="67"/>
        <v>0</v>
      </c>
      <c r="F169" s="41">
        <v>0</v>
      </c>
      <c r="G169" s="44">
        <v>0</v>
      </c>
      <c r="H169" s="44">
        <v>0</v>
      </c>
      <c r="I169" s="44">
        <v>0</v>
      </c>
      <c r="J169" s="44">
        <v>0</v>
      </c>
      <c r="K169" s="44">
        <v>0</v>
      </c>
      <c r="L169" s="44">
        <v>0</v>
      </c>
    </row>
    <row r="170" spans="1:15" ht="25.5" customHeight="1" x14ac:dyDescent="0.25">
      <c r="A170" s="72"/>
      <c r="B170" s="96"/>
      <c r="C170" s="72"/>
      <c r="D170" s="16" t="s">
        <v>30</v>
      </c>
      <c r="E170" s="44">
        <f t="shared" si="67"/>
        <v>14712.357779999995</v>
      </c>
      <c r="F170" s="41">
        <f>F242+F249+F256+F263+F270+F277+F284+F291-2637.83259-8069.52474-240.55</f>
        <v>9648.2733199999966</v>
      </c>
      <c r="G170" s="44">
        <f>1890.23373+51.51515</f>
        <v>1941.7488799999999</v>
      </c>
      <c r="H170" s="44">
        <f>836.37691+548.4356+697.985+178.86+324.7+177.77777+125+123.522+109.6783</f>
        <v>3122.3355799999999</v>
      </c>
      <c r="I170" s="44">
        <v>0</v>
      </c>
      <c r="J170" s="44">
        <v>0</v>
      </c>
      <c r="K170" s="44">
        <v>0</v>
      </c>
      <c r="L170" s="44">
        <v>0</v>
      </c>
    </row>
    <row r="171" spans="1:15" ht="25.5" customHeight="1" x14ac:dyDescent="0.25">
      <c r="A171" s="72"/>
      <c r="B171" s="96"/>
      <c r="C171" s="72"/>
      <c r="D171" s="16" t="s">
        <v>15</v>
      </c>
      <c r="E171" s="44">
        <f>F171+H171+I171+J171+K171</f>
        <v>33080</v>
      </c>
      <c r="F171" s="41">
        <v>80</v>
      </c>
      <c r="G171" s="44">
        <f>80-80</f>
        <v>0</v>
      </c>
      <c r="H171" s="44">
        <v>0</v>
      </c>
      <c r="I171" s="44">
        <v>0</v>
      </c>
      <c r="J171" s="44">
        <v>0</v>
      </c>
      <c r="K171" s="44">
        <v>33000</v>
      </c>
      <c r="L171" s="44">
        <v>0</v>
      </c>
    </row>
    <row r="172" spans="1:15" s="32" customFormat="1" ht="35.25" customHeight="1" x14ac:dyDescent="0.25">
      <c r="A172" s="82" t="s">
        <v>68</v>
      </c>
      <c r="B172" s="92" t="s">
        <v>83</v>
      </c>
      <c r="C172" s="72" t="s">
        <v>60</v>
      </c>
      <c r="D172" s="12" t="s">
        <v>2</v>
      </c>
      <c r="E172" s="45">
        <f>E173+E174+E175+E176+E178</f>
        <v>39976.75</v>
      </c>
      <c r="F172" s="42">
        <f t="shared" ref="F172:L172" si="68">F173+F174+F175+F176+F178</f>
        <v>15364</v>
      </c>
      <c r="G172" s="43">
        <f t="shared" si="68"/>
        <v>24612.75</v>
      </c>
      <c r="H172" s="45">
        <f t="shared" si="68"/>
        <v>0</v>
      </c>
      <c r="I172" s="45">
        <f t="shared" si="68"/>
        <v>0</v>
      </c>
      <c r="J172" s="45">
        <f t="shared" si="68"/>
        <v>0</v>
      </c>
      <c r="K172" s="45">
        <f t="shared" si="68"/>
        <v>0</v>
      </c>
      <c r="L172" s="45">
        <f t="shared" si="68"/>
        <v>0</v>
      </c>
    </row>
    <row r="173" spans="1:15" ht="29.25" customHeight="1" x14ac:dyDescent="0.25">
      <c r="A173" s="83"/>
      <c r="B173" s="93"/>
      <c r="C173" s="72"/>
      <c r="D173" s="13" t="s">
        <v>14</v>
      </c>
      <c r="E173" s="46">
        <f>F173+G173+H173+I173+J173+K173+L173</f>
        <v>0</v>
      </c>
      <c r="F173" s="31">
        <v>0</v>
      </c>
      <c r="G173" s="44">
        <v>0</v>
      </c>
      <c r="H173" s="46">
        <v>0</v>
      </c>
      <c r="I173" s="46">
        <v>0</v>
      </c>
      <c r="J173" s="46">
        <v>0</v>
      </c>
      <c r="K173" s="46">
        <v>0</v>
      </c>
      <c r="L173" s="46">
        <v>0</v>
      </c>
    </row>
    <row r="174" spans="1:15" ht="35.25" customHeight="1" x14ac:dyDescent="0.25">
      <c r="A174" s="83"/>
      <c r="B174" s="93"/>
      <c r="C174" s="72"/>
      <c r="D174" s="13" t="s">
        <v>5</v>
      </c>
      <c r="E174" s="46">
        <f t="shared" ref="E174:E178" si="69">F174+G174+H174+I174+J174+K174+L174</f>
        <v>17000</v>
      </c>
      <c r="F174" s="31">
        <f>4000</f>
        <v>4000</v>
      </c>
      <c r="G174" s="44">
        <f>5000+4000+4000</f>
        <v>13000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</row>
    <row r="175" spans="1:15" ht="35.25" customHeight="1" x14ac:dyDescent="0.25">
      <c r="A175" s="83"/>
      <c r="B175" s="93"/>
      <c r="C175" s="72"/>
      <c r="D175" s="13" t="s">
        <v>6</v>
      </c>
      <c r="E175" s="46">
        <f t="shared" si="69"/>
        <v>22976.75</v>
      </c>
      <c r="F175" s="31">
        <f>3529+2007.6+2139.4+1628.8+396.3+1002+325.2+335.7</f>
        <v>11364</v>
      </c>
      <c r="G175" s="44">
        <f>5218.75+6394</f>
        <v>11612.75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</row>
    <row r="176" spans="1:15" ht="35.25" customHeight="1" x14ac:dyDescent="0.25">
      <c r="A176" s="83"/>
      <c r="B176" s="93"/>
      <c r="C176" s="72"/>
      <c r="D176" s="13" t="s">
        <v>13</v>
      </c>
      <c r="E176" s="46">
        <f t="shared" si="69"/>
        <v>0</v>
      </c>
      <c r="F176" s="31">
        <v>0</v>
      </c>
      <c r="G176" s="44">
        <v>0</v>
      </c>
      <c r="H176" s="46">
        <v>0</v>
      </c>
      <c r="I176" s="46">
        <v>0</v>
      </c>
      <c r="J176" s="46">
        <v>0</v>
      </c>
      <c r="K176" s="46">
        <v>0</v>
      </c>
      <c r="L176" s="46">
        <v>0</v>
      </c>
    </row>
    <row r="177" spans="1:23" ht="25.5" customHeight="1" x14ac:dyDescent="0.25">
      <c r="A177" s="83"/>
      <c r="B177" s="93"/>
      <c r="C177" s="72"/>
      <c r="D177" s="13" t="s">
        <v>30</v>
      </c>
      <c r="E177" s="46">
        <f t="shared" si="69"/>
        <v>0</v>
      </c>
      <c r="F177" s="31">
        <v>0</v>
      </c>
      <c r="G177" s="44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</row>
    <row r="178" spans="1:23" ht="24" customHeight="1" x14ac:dyDescent="0.25">
      <c r="A178" s="84"/>
      <c r="B178" s="94"/>
      <c r="C178" s="72"/>
      <c r="D178" s="13" t="s">
        <v>15</v>
      </c>
      <c r="E178" s="46">
        <f t="shared" si="69"/>
        <v>0</v>
      </c>
      <c r="F178" s="31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0</v>
      </c>
    </row>
    <row r="179" spans="1:23" ht="22.5" customHeight="1" x14ac:dyDescent="0.25">
      <c r="A179" s="86" t="s">
        <v>52</v>
      </c>
      <c r="B179" s="86"/>
      <c r="C179" s="86"/>
      <c r="D179" s="12" t="s">
        <v>2</v>
      </c>
      <c r="E179" s="45">
        <f>E180+E181+E182+E183+E185</f>
        <v>310258.55088999995</v>
      </c>
      <c r="F179" s="42">
        <f t="shared" ref="F179:L179" si="70">F180+F181+F182+F183+F185</f>
        <v>92716.018079999994</v>
      </c>
      <c r="G179" s="45">
        <f t="shared" si="70"/>
        <v>65503.288409999994</v>
      </c>
      <c r="H179" s="45">
        <f t="shared" si="70"/>
        <v>37955.494399999996</v>
      </c>
      <c r="I179" s="45">
        <f t="shared" si="70"/>
        <v>40541.875</v>
      </c>
      <c r="J179" s="45">
        <f t="shared" si="70"/>
        <v>40541.875</v>
      </c>
      <c r="K179" s="45">
        <f t="shared" si="70"/>
        <v>33000</v>
      </c>
      <c r="L179" s="45">
        <f t="shared" si="70"/>
        <v>0</v>
      </c>
      <c r="M179" s="19"/>
    </row>
    <row r="180" spans="1:23" ht="21" customHeight="1" x14ac:dyDescent="0.25">
      <c r="A180" s="86"/>
      <c r="B180" s="86"/>
      <c r="C180" s="86"/>
      <c r="D180" s="13" t="s">
        <v>14</v>
      </c>
      <c r="E180" s="46">
        <f>F180+G180+H180+I180+J180+K180+L180</f>
        <v>14397.028700000001</v>
      </c>
      <c r="F180" s="31">
        <f>F159+F166+F173</f>
        <v>4597.5286999999998</v>
      </c>
      <c r="G180" s="46">
        <f t="shared" ref="G180:L180" si="71">G159+G166+G173</f>
        <v>2709.8</v>
      </c>
      <c r="H180" s="46">
        <f t="shared" si="71"/>
        <v>2383.5</v>
      </c>
      <c r="I180" s="46">
        <f t="shared" si="71"/>
        <v>2353.1000000000004</v>
      </c>
      <c r="J180" s="46">
        <f t="shared" si="71"/>
        <v>2353.1000000000004</v>
      </c>
      <c r="K180" s="46">
        <f t="shared" si="71"/>
        <v>0</v>
      </c>
      <c r="L180" s="46">
        <f t="shared" si="71"/>
        <v>0</v>
      </c>
      <c r="M180" s="19"/>
    </row>
    <row r="181" spans="1:23" ht="38.25" customHeight="1" x14ac:dyDescent="0.25">
      <c r="A181" s="86"/>
      <c r="B181" s="86"/>
      <c r="C181" s="86"/>
      <c r="D181" s="13" t="s">
        <v>5</v>
      </c>
      <c r="E181" s="46">
        <f t="shared" ref="E181:E185" si="72">F181+G181+H181+I181+J181+K181+L181</f>
        <v>55431.592960000002</v>
      </c>
      <c r="F181" s="31">
        <f t="shared" ref="F181:L181" si="73">F160+F167+F174</f>
        <v>22004.38783</v>
      </c>
      <c r="G181" s="46">
        <f t="shared" si="73"/>
        <v>22338.405129999999</v>
      </c>
      <c r="H181" s="46">
        <f t="shared" si="73"/>
        <v>3728</v>
      </c>
      <c r="I181" s="46">
        <f t="shared" si="73"/>
        <v>3680.4000000000005</v>
      </c>
      <c r="J181" s="46">
        <f t="shared" si="73"/>
        <v>3680.4000000000005</v>
      </c>
      <c r="K181" s="46">
        <f t="shared" si="73"/>
        <v>0</v>
      </c>
      <c r="L181" s="46">
        <f t="shared" si="73"/>
        <v>0</v>
      </c>
      <c r="M181" s="38"/>
    </row>
    <row r="182" spans="1:23" ht="21" customHeight="1" x14ac:dyDescent="0.25">
      <c r="A182" s="86"/>
      <c r="B182" s="86"/>
      <c r="C182" s="86"/>
      <c r="D182" s="13" t="s">
        <v>6</v>
      </c>
      <c r="E182" s="46">
        <f>F182+G182+H182+I182+J182+K182+L182</f>
        <v>207349.92922999998</v>
      </c>
      <c r="F182" s="31">
        <f t="shared" ref="F182:L182" si="74">F161+F168+F175</f>
        <v>66034.101549999992</v>
      </c>
      <c r="G182" s="46">
        <f t="shared" si="74"/>
        <v>40455.083279999999</v>
      </c>
      <c r="H182" s="46">
        <f t="shared" si="74"/>
        <v>31843.9944</v>
      </c>
      <c r="I182" s="46">
        <f t="shared" si="74"/>
        <v>34508.375</v>
      </c>
      <c r="J182" s="46">
        <f t="shared" si="74"/>
        <v>34508.375</v>
      </c>
      <c r="K182" s="46">
        <f t="shared" si="74"/>
        <v>0</v>
      </c>
      <c r="L182" s="46">
        <f t="shared" si="74"/>
        <v>0</v>
      </c>
      <c r="M182" s="19"/>
    </row>
    <row r="183" spans="1:23" ht="30" customHeight="1" x14ac:dyDescent="0.25">
      <c r="A183" s="86"/>
      <c r="B183" s="86"/>
      <c r="C183" s="86"/>
      <c r="D183" s="13" t="s">
        <v>13</v>
      </c>
      <c r="E183" s="46">
        <f t="shared" si="72"/>
        <v>0</v>
      </c>
      <c r="F183" s="31">
        <f t="shared" ref="F183:L183" si="75">F162+F169+F176</f>
        <v>0</v>
      </c>
      <c r="G183" s="46">
        <f t="shared" si="75"/>
        <v>0</v>
      </c>
      <c r="H183" s="46">
        <f t="shared" si="75"/>
        <v>0</v>
      </c>
      <c r="I183" s="46">
        <f t="shared" si="75"/>
        <v>0</v>
      </c>
      <c r="J183" s="46">
        <f t="shared" si="75"/>
        <v>0</v>
      </c>
      <c r="K183" s="46">
        <f t="shared" si="75"/>
        <v>0</v>
      </c>
      <c r="L183" s="46">
        <f t="shared" si="75"/>
        <v>0</v>
      </c>
      <c r="M183" s="19"/>
    </row>
    <row r="184" spans="1:23" ht="25.5" customHeight="1" x14ac:dyDescent="0.25">
      <c r="A184" s="86"/>
      <c r="B184" s="86"/>
      <c r="C184" s="86"/>
      <c r="D184" s="13" t="s">
        <v>30</v>
      </c>
      <c r="E184" s="46">
        <f t="shared" si="72"/>
        <v>68160.841110000008</v>
      </c>
      <c r="F184" s="31">
        <f t="shared" ref="F184:L184" si="76">F163+F170+F177</f>
        <v>20596.180649999995</v>
      </c>
      <c r="G184" s="46">
        <f t="shared" si="76"/>
        <v>26380.478880000002</v>
      </c>
      <c r="H184" s="46">
        <f>H163+H170+H177</f>
        <v>19734.301579999999</v>
      </c>
      <c r="I184" s="46">
        <f t="shared" si="76"/>
        <v>686</v>
      </c>
      <c r="J184" s="46">
        <f t="shared" si="76"/>
        <v>0</v>
      </c>
      <c r="K184" s="46">
        <f t="shared" si="76"/>
        <v>763.88</v>
      </c>
      <c r="L184" s="46">
        <f t="shared" si="76"/>
        <v>0</v>
      </c>
      <c r="M184" s="19"/>
    </row>
    <row r="185" spans="1:23" ht="25.5" customHeight="1" x14ac:dyDescent="0.25">
      <c r="A185" s="86"/>
      <c r="B185" s="86"/>
      <c r="C185" s="86"/>
      <c r="D185" s="13" t="s">
        <v>15</v>
      </c>
      <c r="E185" s="46">
        <f t="shared" si="72"/>
        <v>33080</v>
      </c>
      <c r="F185" s="31">
        <f>F164+F171+F178</f>
        <v>80</v>
      </c>
      <c r="G185" s="44">
        <f>G164+G171+G178</f>
        <v>0</v>
      </c>
      <c r="H185" s="46">
        <f t="shared" ref="H185:L185" si="77">H164+H171+H178</f>
        <v>0</v>
      </c>
      <c r="I185" s="46">
        <f t="shared" si="77"/>
        <v>0</v>
      </c>
      <c r="J185" s="46">
        <f t="shared" si="77"/>
        <v>0</v>
      </c>
      <c r="K185" s="46">
        <f t="shared" si="77"/>
        <v>33000</v>
      </c>
      <c r="L185" s="46">
        <f t="shared" si="77"/>
        <v>0</v>
      </c>
      <c r="M185" s="19"/>
    </row>
    <row r="186" spans="1:23" s="32" customFormat="1" ht="24" customHeight="1" x14ac:dyDescent="0.25">
      <c r="A186" s="135" t="s">
        <v>9</v>
      </c>
      <c r="B186" s="135"/>
      <c r="C186" s="135"/>
      <c r="D186" s="12" t="s">
        <v>2</v>
      </c>
      <c r="E186" s="43">
        <f>E187+E188+E189+E190+E192</f>
        <v>5221944.3686800003</v>
      </c>
      <c r="F186" s="40">
        <f t="shared" ref="F186:L186" si="78">F187+F188+F189+F190+F192</f>
        <v>416686.58961000002</v>
      </c>
      <c r="G186" s="43">
        <f>G187+G188+G189+G190+G192</f>
        <v>370893.32391000015</v>
      </c>
      <c r="H186" s="43">
        <f>H187+H188+H189+H190+H192</f>
        <v>476765.54913</v>
      </c>
      <c r="I186" s="43">
        <f t="shared" si="78"/>
        <v>842748.56579999998</v>
      </c>
      <c r="J186" s="43">
        <f t="shared" si="78"/>
        <v>436060.99080000003</v>
      </c>
      <c r="K186" s="43">
        <f t="shared" si="78"/>
        <v>540735.62416999997</v>
      </c>
      <c r="L186" s="43">
        <f t="shared" si="78"/>
        <v>2138053.7252599997</v>
      </c>
      <c r="M186" s="60"/>
      <c r="N186" s="60"/>
      <c r="O186" s="60"/>
      <c r="P186" s="60"/>
      <c r="Q186" s="60"/>
      <c r="R186" s="60"/>
      <c r="S186" s="60"/>
      <c r="T186" s="60"/>
      <c r="U186" s="59">
        <f t="shared" ref="U186:U192" si="79">M194+M201</f>
        <v>0</v>
      </c>
      <c r="V186" s="55"/>
      <c r="W186" s="55"/>
    </row>
    <row r="187" spans="1:23" ht="28.5" customHeight="1" x14ac:dyDescent="0.25">
      <c r="A187" s="135"/>
      <c r="B187" s="135"/>
      <c r="C187" s="135"/>
      <c r="D187" s="13" t="s">
        <v>14</v>
      </c>
      <c r="E187" s="43">
        <f t="shared" ref="E187:E192" si="80">F187+G187+H187+I187+J187+K187+L187</f>
        <v>14397.028700000001</v>
      </c>
      <c r="F187" s="41">
        <f>F79+F108+F151+F180</f>
        <v>4597.5286999999998</v>
      </c>
      <c r="G187" s="44">
        <f>G79+G108+G151+G180</f>
        <v>2709.8</v>
      </c>
      <c r="H187" s="46">
        <f>H180</f>
        <v>2383.5</v>
      </c>
      <c r="I187" s="46">
        <f>I180</f>
        <v>2353.1000000000004</v>
      </c>
      <c r="J187" s="46">
        <f t="shared" ref="J187:L187" si="81">J79+J108+J151+J180</f>
        <v>2353.1000000000004</v>
      </c>
      <c r="K187" s="46">
        <f t="shared" si="81"/>
        <v>0</v>
      </c>
      <c r="L187" s="46">
        <f t="shared" si="81"/>
        <v>0</v>
      </c>
      <c r="M187" s="60"/>
      <c r="N187" s="60"/>
      <c r="O187" s="60"/>
      <c r="P187" s="60"/>
      <c r="Q187" s="60"/>
      <c r="R187" s="60"/>
      <c r="S187" s="60"/>
      <c r="T187" s="60"/>
      <c r="U187" s="59">
        <f t="shared" si="79"/>
        <v>0</v>
      </c>
      <c r="V187" s="55"/>
      <c r="W187" s="55"/>
    </row>
    <row r="188" spans="1:23" ht="34.5" customHeight="1" x14ac:dyDescent="0.25">
      <c r="A188" s="135"/>
      <c r="B188" s="135"/>
      <c r="C188" s="135"/>
      <c r="D188" s="13" t="s">
        <v>5</v>
      </c>
      <c r="E188" s="43">
        <f t="shared" si="80"/>
        <v>188791.09295999998</v>
      </c>
      <c r="F188" s="41">
        <f t="shared" ref="F188" si="82">F80+F109+F152+F181</f>
        <v>29262.787830000001</v>
      </c>
      <c r="G188" s="44">
        <f>G80+G109+G152+G181</f>
        <v>32924.905129999999</v>
      </c>
      <c r="H188" s="46">
        <f>H80+H109+H181</f>
        <v>18171.900000000001</v>
      </c>
      <c r="I188" s="46">
        <f>I80+I109+I181</f>
        <v>15458.2</v>
      </c>
      <c r="J188" s="46">
        <f>J80+J109+J152+J181</f>
        <v>14198.7</v>
      </c>
      <c r="K188" s="46">
        <f t="shared" ref="K188:L188" si="83">K80+K109+K152+K181</f>
        <v>11745.7</v>
      </c>
      <c r="L188" s="46">
        <f t="shared" si="83"/>
        <v>67028.899999999994</v>
      </c>
      <c r="M188" s="60"/>
      <c r="N188" s="60"/>
      <c r="O188" s="60"/>
      <c r="P188" s="60"/>
      <c r="Q188" s="60"/>
      <c r="R188" s="60"/>
      <c r="S188" s="60"/>
      <c r="T188" s="60"/>
      <c r="U188" s="59">
        <f t="shared" si="79"/>
        <v>0</v>
      </c>
      <c r="V188" s="55"/>
      <c r="W188" s="55"/>
    </row>
    <row r="189" spans="1:23" ht="26.25" customHeight="1" x14ac:dyDescent="0.25">
      <c r="A189" s="135"/>
      <c r="B189" s="135"/>
      <c r="C189" s="135"/>
      <c r="D189" s="13" t="s">
        <v>6</v>
      </c>
      <c r="E189" s="43">
        <f t="shared" si="80"/>
        <v>2511911.2418600004</v>
      </c>
      <c r="F189" s="41">
        <f>F81+F110+F153+F182</f>
        <v>382504.63575999998</v>
      </c>
      <c r="G189" s="44">
        <f t="shared" ref="F189:L190" si="84">G81+G110+G153+G182</f>
        <v>334166.57765000011</v>
      </c>
      <c r="H189" s="46">
        <f>H81+H110+H153+H182</f>
        <v>187560.98765</v>
      </c>
      <c r="I189" s="46">
        <f>I81+I153+I182</f>
        <v>86357.512560000003</v>
      </c>
      <c r="J189" s="46">
        <f t="shared" si="84"/>
        <v>200097.948</v>
      </c>
      <c r="K189" s="46">
        <f t="shared" si="84"/>
        <v>193145.16177999999</v>
      </c>
      <c r="L189" s="46">
        <f t="shared" si="84"/>
        <v>1128078.4184600001</v>
      </c>
      <c r="M189" s="60"/>
      <c r="N189" s="60"/>
      <c r="O189" s="60"/>
      <c r="P189" s="60"/>
      <c r="Q189" s="60"/>
      <c r="R189" s="60"/>
      <c r="S189" s="60"/>
      <c r="T189" s="60"/>
      <c r="U189" s="59">
        <f t="shared" si="79"/>
        <v>0</v>
      </c>
      <c r="V189" s="55"/>
      <c r="W189" s="55"/>
    </row>
    <row r="190" spans="1:23" ht="29.25" customHeight="1" x14ac:dyDescent="0.25">
      <c r="A190" s="135"/>
      <c r="B190" s="135"/>
      <c r="C190" s="135"/>
      <c r="D190" s="13" t="s">
        <v>13</v>
      </c>
      <c r="E190" s="43">
        <f t="shared" si="80"/>
        <v>1124.01845</v>
      </c>
      <c r="F190" s="41">
        <f t="shared" si="84"/>
        <v>136.80732</v>
      </c>
      <c r="G190" s="44">
        <f t="shared" si="84"/>
        <v>987.21112999999991</v>
      </c>
      <c r="H190" s="46">
        <f t="shared" si="84"/>
        <v>0</v>
      </c>
      <c r="I190" s="46">
        <f t="shared" si="84"/>
        <v>0</v>
      </c>
      <c r="J190" s="46">
        <f t="shared" si="84"/>
        <v>0</v>
      </c>
      <c r="K190" s="46">
        <f t="shared" si="84"/>
        <v>0</v>
      </c>
      <c r="L190" s="46">
        <f t="shared" si="84"/>
        <v>0</v>
      </c>
      <c r="M190" s="60"/>
      <c r="N190" s="60"/>
      <c r="O190" s="60"/>
      <c r="P190" s="60"/>
      <c r="Q190" s="60"/>
      <c r="R190" s="60"/>
      <c r="S190" s="60"/>
      <c r="T190" s="60"/>
      <c r="U190" s="59">
        <f t="shared" si="79"/>
        <v>0</v>
      </c>
      <c r="V190" s="55"/>
      <c r="W190" s="55"/>
    </row>
    <row r="191" spans="1:23" ht="22.5" customHeight="1" x14ac:dyDescent="0.25">
      <c r="A191" s="135"/>
      <c r="B191" s="135"/>
      <c r="C191" s="135"/>
      <c r="D191" s="13" t="s">
        <v>30</v>
      </c>
      <c r="E191" s="43">
        <f t="shared" si="80"/>
        <v>68160.841110000008</v>
      </c>
      <c r="F191" s="41">
        <f t="shared" ref="F191" si="85">F83+F112+F155+F184</f>
        <v>20596.180649999995</v>
      </c>
      <c r="G191" s="44">
        <f t="shared" ref="G191:L192" si="86">G83+G112+G155+G184</f>
        <v>26380.478880000002</v>
      </c>
      <c r="H191" s="46">
        <f>H184</f>
        <v>19734.301579999999</v>
      </c>
      <c r="I191" s="46">
        <f>I184</f>
        <v>686</v>
      </c>
      <c r="J191" s="46">
        <f t="shared" si="86"/>
        <v>0</v>
      </c>
      <c r="K191" s="46">
        <f t="shared" si="86"/>
        <v>763.88</v>
      </c>
      <c r="L191" s="46">
        <f t="shared" si="86"/>
        <v>0</v>
      </c>
      <c r="M191" s="60"/>
      <c r="N191" s="60"/>
      <c r="O191" s="60"/>
      <c r="P191" s="60"/>
      <c r="Q191" s="60"/>
      <c r="R191" s="60"/>
      <c r="S191" s="60"/>
      <c r="T191" s="60"/>
      <c r="U191" s="59">
        <f t="shared" si="79"/>
        <v>0</v>
      </c>
      <c r="V191" s="55"/>
      <c r="W191" s="55"/>
    </row>
    <row r="192" spans="1:23" ht="18.75" customHeight="1" x14ac:dyDescent="0.25">
      <c r="A192" s="135"/>
      <c r="B192" s="135"/>
      <c r="C192" s="135"/>
      <c r="D192" s="13" t="s">
        <v>15</v>
      </c>
      <c r="E192" s="43">
        <f t="shared" si="80"/>
        <v>2505720.9867099999</v>
      </c>
      <c r="F192" s="41">
        <f t="shared" ref="F192" si="87">F84+F113+F156+F185</f>
        <v>184.82999999999998</v>
      </c>
      <c r="G192" s="44">
        <f t="shared" si="86"/>
        <v>104.83</v>
      </c>
      <c r="H192" s="46">
        <f>H84+H113+H156+H185</f>
        <v>268649.16148000001</v>
      </c>
      <c r="I192" s="46">
        <f>I84+I113+I156+I185</f>
        <v>738579.75323999999</v>
      </c>
      <c r="J192" s="46">
        <f t="shared" si="86"/>
        <v>219411.24279999998</v>
      </c>
      <c r="K192" s="46">
        <f t="shared" si="86"/>
        <v>335844.76238999999</v>
      </c>
      <c r="L192" s="46">
        <f t="shared" si="86"/>
        <v>942946.4068</v>
      </c>
      <c r="M192" s="60"/>
      <c r="N192" s="60"/>
      <c r="O192" s="60"/>
      <c r="P192" s="60"/>
      <c r="Q192" s="60"/>
      <c r="R192" s="60"/>
      <c r="S192" s="60"/>
      <c r="T192" s="60"/>
      <c r="U192" s="59">
        <f t="shared" si="79"/>
        <v>0</v>
      </c>
      <c r="V192" s="55"/>
      <c r="W192" s="55"/>
    </row>
    <row r="193" spans="1:21" ht="15" customHeight="1" x14ac:dyDescent="0.25">
      <c r="A193" s="98" t="s">
        <v>10</v>
      </c>
      <c r="B193" s="98"/>
      <c r="C193" s="98"/>
      <c r="D193" s="8"/>
      <c r="E193" s="49"/>
      <c r="F193" s="31"/>
      <c r="G193" s="46"/>
      <c r="H193" s="51"/>
      <c r="I193" s="51"/>
      <c r="J193" s="51"/>
      <c r="K193" s="51"/>
      <c r="L193" s="50"/>
      <c r="M193" s="61"/>
      <c r="N193" s="61"/>
      <c r="O193" s="61"/>
      <c r="P193" s="61"/>
      <c r="Q193" s="61"/>
      <c r="R193" s="62"/>
      <c r="S193" s="62"/>
      <c r="T193" s="62"/>
    </row>
    <row r="194" spans="1:21" ht="22.5" customHeight="1" x14ac:dyDescent="0.25">
      <c r="A194" s="79" t="s">
        <v>16</v>
      </c>
      <c r="B194" s="79"/>
      <c r="C194" s="79"/>
      <c r="D194" s="8" t="s">
        <v>2</v>
      </c>
      <c r="E194" s="52">
        <f>E195+E196+E197+E198+E200</f>
        <v>797586.34407999995</v>
      </c>
      <c r="F194" s="42">
        <f t="shared" ref="F194:L194" si="88">F195+F196+F197+F198+F200</f>
        <v>43765.020540000005</v>
      </c>
      <c r="G194" s="45">
        <f t="shared" si="88"/>
        <v>5134.7755400000005</v>
      </c>
      <c r="H194" s="45">
        <v>4070</v>
      </c>
      <c r="I194" s="45">
        <f t="shared" si="88"/>
        <v>482300</v>
      </c>
      <c r="J194" s="45">
        <f t="shared" si="88"/>
        <v>48551.5</v>
      </c>
      <c r="K194" s="45">
        <f t="shared" si="88"/>
        <v>149465.04800000001</v>
      </c>
      <c r="L194" s="45">
        <f t="shared" si="88"/>
        <v>17300</v>
      </c>
      <c r="M194" s="29"/>
      <c r="N194" s="29"/>
      <c r="O194" s="29"/>
      <c r="P194" s="29"/>
      <c r="Q194" s="29"/>
      <c r="R194" s="29"/>
    </row>
    <row r="195" spans="1:21" ht="22.5" customHeight="1" x14ac:dyDescent="0.25">
      <c r="A195" s="79"/>
      <c r="B195" s="79"/>
      <c r="C195" s="79"/>
      <c r="D195" s="9" t="s">
        <v>14</v>
      </c>
      <c r="E195" s="46">
        <f>F195+G195+H195+I195+J195+K195+L195</f>
        <v>0</v>
      </c>
      <c r="F195" s="31">
        <f t="shared" ref="F195:L200" si="89">F9</f>
        <v>0</v>
      </c>
      <c r="G195" s="46">
        <f t="shared" si="89"/>
        <v>0</v>
      </c>
      <c r="H195" s="46">
        <f t="shared" si="89"/>
        <v>0</v>
      </c>
      <c r="I195" s="46">
        <f t="shared" si="89"/>
        <v>0</v>
      </c>
      <c r="J195" s="46">
        <f t="shared" si="89"/>
        <v>0</v>
      </c>
      <c r="K195" s="46">
        <f t="shared" si="89"/>
        <v>0</v>
      </c>
      <c r="L195" s="46">
        <f t="shared" si="89"/>
        <v>0</v>
      </c>
      <c r="M195" s="29"/>
      <c r="N195" s="29"/>
      <c r="O195" s="29"/>
      <c r="P195" s="29"/>
      <c r="Q195" s="29"/>
      <c r="R195" s="29"/>
    </row>
    <row r="196" spans="1:21" ht="33.75" customHeight="1" x14ac:dyDescent="0.25">
      <c r="A196" s="79"/>
      <c r="B196" s="79"/>
      <c r="C196" s="79"/>
      <c r="D196" s="9" t="s">
        <v>5</v>
      </c>
      <c r="E196" s="46">
        <f t="shared" ref="E196:E199" si="90">F196+G196+H196+I196+J196+K196+L196</f>
        <v>0</v>
      </c>
      <c r="F196" s="31">
        <f t="shared" si="89"/>
        <v>0</v>
      </c>
      <c r="G196" s="46">
        <f t="shared" si="89"/>
        <v>0</v>
      </c>
      <c r="H196" s="46">
        <f t="shared" si="89"/>
        <v>0</v>
      </c>
      <c r="I196" s="46">
        <f t="shared" si="89"/>
        <v>0</v>
      </c>
      <c r="J196" s="46">
        <f t="shared" si="89"/>
        <v>0</v>
      </c>
      <c r="K196" s="46">
        <f t="shared" si="89"/>
        <v>0</v>
      </c>
      <c r="L196" s="46">
        <f t="shared" si="89"/>
        <v>0</v>
      </c>
      <c r="M196" s="29"/>
      <c r="N196" s="29"/>
      <c r="O196" s="29"/>
      <c r="P196" s="29"/>
      <c r="Q196" s="29"/>
      <c r="R196" s="29"/>
      <c r="S196" s="29"/>
      <c r="T196" s="29"/>
      <c r="U196" s="29"/>
    </row>
    <row r="197" spans="1:21" ht="22.5" customHeight="1" x14ac:dyDescent="0.25">
      <c r="A197" s="79"/>
      <c r="B197" s="79"/>
      <c r="C197" s="79"/>
      <c r="D197" s="9" t="s">
        <v>6</v>
      </c>
      <c r="E197" s="46">
        <f>F197+G197+H197+I197+J197+K197+L197</f>
        <v>59869.796080000007</v>
      </c>
      <c r="F197" s="31">
        <f t="shared" si="89"/>
        <v>43765.020540000005</v>
      </c>
      <c r="G197" s="46">
        <f t="shared" si="89"/>
        <v>5134.7755400000005</v>
      </c>
      <c r="H197" s="46">
        <f t="shared" si="89"/>
        <v>4070</v>
      </c>
      <c r="I197" s="46">
        <f t="shared" si="89"/>
        <v>0</v>
      </c>
      <c r="J197" s="46">
        <f t="shared" si="89"/>
        <v>2300</v>
      </c>
      <c r="K197" s="46">
        <f t="shared" si="89"/>
        <v>2300</v>
      </c>
      <c r="L197" s="46">
        <f t="shared" si="89"/>
        <v>2300</v>
      </c>
      <c r="M197" s="14"/>
      <c r="N197" s="29"/>
      <c r="O197" s="29"/>
      <c r="P197" s="29"/>
      <c r="Q197" s="29"/>
      <c r="R197" s="29"/>
    </row>
    <row r="198" spans="1:21" ht="53.25" customHeight="1" x14ac:dyDescent="0.25">
      <c r="A198" s="79"/>
      <c r="B198" s="79"/>
      <c r="C198" s="79"/>
      <c r="D198" s="9" t="s">
        <v>13</v>
      </c>
      <c r="E198" s="46">
        <f t="shared" si="90"/>
        <v>0</v>
      </c>
      <c r="F198" s="31">
        <f t="shared" si="89"/>
        <v>0</v>
      </c>
      <c r="G198" s="46">
        <f t="shared" si="89"/>
        <v>0</v>
      </c>
      <c r="H198" s="46">
        <f t="shared" si="89"/>
        <v>0</v>
      </c>
      <c r="I198" s="46">
        <f t="shared" si="89"/>
        <v>0</v>
      </c>
      <c r="J198" s="46">
        <f t="shared" si="89"/>
        <v>0</v>
      </c>
      <c r="K198" s="46">
        <f t="shared" si="89"/>
        <v>0</v>
      </c>
      <c r="L198" s="46">
        <f t="shared" si="89"/>
        <v>0</v>
      </c>
      <c r="M198" s="29"/>
      <c r="N198" s="29"/>
      <c r="O198" s="53"/>
      <c r="P198" s="29"/>
      <c r="Q198" s="29"/>
      <c r="R198" s="29"/>
    </row>
    <row r="199" spans="1:21" ht="22.5" customHeight="1" x14ac:dyDescent="0.25">
      <c r="A199" s="79"/>
      <c r="B199" s="79"/>
      <c r="C199" s="79"/>
      <c r="D199" s="9" t="s">
        <v>30</v>
      </c>
      <c r="E199" s="46">
        <f t="shared" si="90"/>
        <v>0</v>
      </c>
      <c r="F199" s="31">
        <f t="shared" si="89"/>
        <v>0</v>
      </c>
      <c r="G199" s="46">
        <f t="shared" si="89"/>
        <v>0</v>
      </c>
      <c r="H199" s="46">
        <f t="shared" si="89"/>
        <v>0</v>
      </c>
      <c r="I199" s="46">
        <f t="shared" si="89"/>
        <v>0</v>
      </c>
      <c r="J199" s="46">
        <f t="shared" si="89"/>
        <v>0</v>
      </c>
      <c r="K199" s="46">
        <f t="shared" si="89"/>
        <v>0</v>
      </c>
      <c r="L199" s="46">
        <f t="shared" si="89"/>
        <v>0</v>
      </c>
      <c r="M199" s="29"/>
      <c r="N199" s="29"/>
      <c r="O199" s="29"/>
      <c r="P199" s="29"/>
      <c r="Q199" s="29"/>
      <c r="R199" s="29"/>
    </row>
    <row r="200" spans="1:21" ht="23.25" customHeight="1" x14ac:dyDescent="0.25">
      <c r="A200" s="79"/>
      <c r="B200" s="79"/>
      <c r="C200" s="79"/>
      <c r="D200" s="9" t="s">
        <v>15</v>
      </c>
      <c r="E200" s="46">
        <f>F200+G200+H200+I200+J200+K200+L200</f>
        <v>737716.54799999995</v>
      </c>
      <c r="F200" s="31">
        <f t="shared" si="89"/>
        <v>0</v>
      </c>
      <c r="G200" s="46">
        <f t="shared" si="89"/>
        <v>0</v>
      </c>
      <c r="H200" s="46">
        <f t="shared" si="89"/>
        <v>47000</v>
      </c>
      <c r="I200" s="46">
        <f t="shared" si="89"/>
        <v>482300</v>
      </c>
      <c r="J200" s="46">
        <f t="shared" si="89"/>
        <v>46251.5</v>
      </c>
      <c r="K200" s="46">
        <f t="shared" si="89"/>
        <v>147165.04800000001</v>
      </c>
      <c r="L200" s="46">
        <f t="shared" si="89"/>
        <v>15000</v>
      </c>
      <c r="M200" s="29"/>
      <c r="N200" s="29"/>
      <c r="O200" s="29"/>
      <c r="P200" s="29"/>
      <c r="Q200" s="29"/>
      <c r="R200" s="29"/>
    </row>
    <row r="201" spans="1:21" ht="22.5" customHeight="1" x14ac:dyDescent="0.25">
      <c r="A201" s="79" t="s">
        <v>11</v>
      </c>
      <c r="B201" s="79"/>
      <c r="C201" s="79"/>
      <c r="D201" s="8" t="s">
        <v>2</v>
      </c>
      <c r="E201" s="52">
        <f>E202+E203+E204+E205+E207</f>
        <v>4424358.0245999992</v>
      </c>
      <c r="F201" s="42">
        <f>F202+F203+F204+F205+F207</f>
        <v>372921.56907000003</v>
      </c>
      <c r="G201" s="45">
        <f t="shared" ref="G201:L201" si="91">G202+G203+G204+G205+G207</f>
        <v>365758.54837000003</v>
      </c>
      <c r="H201" s="45">
        <f>H202+H203+H204+H206+H207</f>
        <v>445429.85071000003</v>
      </c>
      <c r="I201" s="45">
        <f t="shared" si="91"/>
        <v>360448.56579999998</v>
      </c>
      <c r="J201" s="45">
        <f t="shared" si="91"/>
        <v>387509.49080000003</v>
      </c>
      <c r="K201" s="45">
        <f t="shared" si="91"/>
        <v>391271.57617000001</v>
      </c>
      <c r="L201" s="45">
        <f t="shared" si="91"/>
        <v>2120752.7252599997</v>
      </c>
      <c r="M201" s="11"/>
      <c r="N201" s="19"/>
      <c r="O201" s="14"/>
    </row>
    <row r="202" spans="1:21" ht="22.5" customHeight="1" x14ac:dyDescent="0.25">
      <c r="A202" s="79"/>
      <c r="B202" s="79"/>
      <c r="C202" s="79"/>
      <c r="D202" s="9" t="s">
        <v>14</v>
      </c>
      <c r="E202" s="49">
        <f>F202+G202+H202+I202+J202+K202+L202</f>
        <v>14397.028700000001</v>
      </c>
      <c r="F202" s="31">
        <f>F210+F217+F224+F231+F238+F245+F252+F259+F266+F273+F280+F287</f>
        <v>4597.5286999999998</v>
      </c>
      <c r="G202" s="46">
        <f t="shared" ref="G202:L202" si="92">G210+G217+G224+G231+G238+G245+G252+G259+G266+G273+G280+G287</f>
        <v>2709.8</v>
      </c>
      <c r="H202" s="46">
        <f>H210+H217+H224+H231+H238+H245+H252+H259+H266+H273+H280+H287</f>
        <v>2383.5</v>
      </c>
      <c r="I202" s="46">
        <f>I210+I217+I224+I238+I245+I252+I266+I273+I280+I287+I259</f>
        <v>2353.1</v>
      </c>
      <c r="J202" s="46">
        <f t="shared" si="92"/>
        <v>2353.1000000000004</v>
      </c>
      <c r="K202" s="46">
        <f t="shared" si="92"/>
        <v>0</v>
      </c>
      <c r="L202" s="46">
        <f t="shared" si="92"/>
        <v>0</v>
      </c>
      <c r="M202" s="11"/>
      <c r="N202" s="28"/>
      <c r="O202" s="28"/>
      <c r="P202" s="28"/>
      <c r="Q202" s="28"/>
    </row>
    <row r="203" spans="1:21" ht="33.75" customHeight="1" x14ac:dyDescent="0.25">
      <c r="A203" s="79"/>
      <c r="B203" s="79"/>
      <c r="C203" s="79"/>
      <c r="D203" s="9" t="s">
        <v>5</v>
      </c>
      <c r="E203" s="49">
        <f>F203+G203+H203+I203+J203+K203+L203</f>
        <v>188791.09295999998</v>
      </c>
      <c r="F203" s="31">
        <f>F211+F218+F225+F232+F239+F246+F253+F260+F267+F274+F281+F288</f>
        <v>29262.787830000001</v>
      </c>
      <c r="G203" s="46">
        <f t="shared" ref="G203:L203" si="93">G211+G218+G225+G232+G239+G246+G253+G260+G267+G274+G281+G288</f>
        <v>32924.905129999999</v>
      </c>
      <c r="H203" s="46">
        <f t="shared" si="93"/>
        <v>18171.900000000001</v>
      </c>
      <c r="I203" s="46">
        <f t="shared" si="93"/>
        <v>15458.199999999999</v>
      </c>
      <c r="J203" s="46">
        <f t="shared" si="93"/>
        <v>14198.699999999999</v>
      </c>
      <c r="K203" s="46">
        <f>K211+K218+K225+K232+K239+K246+K253+K260+K267+K274+K281+K288</f>
        <v>11746.7</v>
      </c>
      <c r="L203" s="46">
        <f t="shared" si="93"/>
        <v>67027.899999999994</v>
      </c>
      <c r="M203" s="11"/>
      <c r="N203" s="28"/>
      <c r="O203" s="28"/>
      <c r="P203" s="28"/>
      <c r="Q203" s="28"/>
    </row>
    <row r="204" spans="1:21" ht="24" customHeight="1" x14ac:dyDescent="0.25">
      <c r="A204" s="79"/>
      <c r="B204" s="79"/>
      <c r="C204" s="79"/>
      <c r="D204" s="9" t="s">
        <v>6</v>
      </c>
      <c r="E204" s="49">
        <f>F204+G204+H204+I204+J204+K204+L204</f>
        <v>2452041.4457799997</v>
      </c>
      <c r="F204" s="31">
        <f>F212+F219+F226+F233+F240+F247+F254+F261+F268+F275+F282+F289</f>
        <v>338739.61521999998</v>
      </c>
      <c r="G204" s="46">
        <f>G212+G219+G226+G233+G240+G247+G254+G261+G268+G275+G282+G289</f>
        <v>329031.80210999999</v>
      </c>
      <c r="H204" s="46">
        <f>H212+H219+H226+H233+H240+H247+H254+H261+H268+H275+H282+H289</f>
        <v>183490.98765</v>
      </c>
      <c r="I204" s="46">
        <f>I212+I219+I226+I233+I240+I247+I254+I261+I268+I275+I282+I289</f>
        <v>86357.512560000017</v>
      </c>
      <c r="J204" s="46">
        <f>J212+J219+J226+J233+J240+J247+J254+J261+J268+J275+J282+J289</f>
        <v>197797.94800000003</v>
      </c>
      <c r="K204" s="46">
        <f t="shared" ref="K204:L204" si="94">K212+K219+K226+K233+K240+K247+K254+K261+K268+K275+K282+K289</f>
        <v>190845.16177999999</v>
      </c>
      <c r="L204" s="46">
        <f t="shared" si="94"/>
        <v>1125778.4184599998</v>
      </c>
      <c r="M204" s="11"/>
      <c r="N204" s="28"/>
      <c r="O204" s="28"/>
      <c r="P204" s="28"/>
      <c r="Q204" s="28"/>
    </row>
    <row r="205" spans="1:21" ht="43.5" customHeight="1" x14ac:dyDescent="0.25">
      <c r="A205" s="79"/>
      <c r="B205" s="79"/>
      <c r="C205" s="79"/>
      <c r="D205" s="9" t="s">
        <v>13</v>
      </c>
      <c r="E205" s="49">
        <f t="shared" ref="E205:E207" si="95">F205+G205+H205+I205+J205+K205+L205</f>
        <v>1124.01845</v>
      </c>
      <c r="F205" s="31">
        <f t="shared" ref="F205:L205" si="96">F213+F220+F227+F234+F241+F248+F255+F262+F269+F276+F283+F290</f>
        <v>136.80732</v>
      </c>
      <c r="G205" s="46">
        <f t="shared" si="96"/>
        <v>987.21112999999991</v>
      </c>
      <c r="H205" s="46">
        <f t="shared" si="96"/>
        <v>0</v>
      </c>
      <c r="I205" s="46">
        <f t="shared" si="96"/>
        <v>0</v>
      </c>
      <c r="J205" s="46">
        <f t="shared" si="96"/>
        <v>0</v>
      </c>
      <c r="K205" s="46">
        <f t="shared" si="96"/>
        <v>0</v>
      </c>
      <c r="L205" s="46">
        <f t="shared" si="96"/>
        <v>0</v>
      </c>
      <c r="M205" s="11"/>
      <c r="N205" s="28"/>
      <c r="O205" s="28"/>
      <c r="P205" s="28"/>
      <c r="Q205" s="28"/>
    </row>
    <row r="206" spans="1:21" ht="25.5" customHeight="1" x14ac:dyDescent="0.25">
      <c r="A206" s="79"/>
      <c r="B206" s="79"/>
      <c r="C206" s="79"/>
      <c r="D206" s="9" t="s">
        <v>30</v>
      </c>
      <c r="E206" s="49">
        <f t="shared" si="95"/>
        <v>68160.841110000008</v>
      </c>
      <c r="F206" s="31">
        <f t="shared" ref="F206:L206" si="97">F214+F221+F228+F235+F242+F249+F256+F263+F270+F277+F284+F291</f>
        <v>20596.180649999998</v>
      </c>
      <c r="G206" s="46">
        <f t="shared" si="97"/>
        <v>26380.478880000002</v>
      </c>
      <c r="H206" s="46">
        <f>H214+H221+H228+H235+H242+H249+H256+H263+H270+H277+H284+H291</f>
        <v>19734.301580000003</v>
      </c>
      <c r="I206" s="46">
        <f t="shared" si="97"/>
        <v>686</v>
      </c>
      <c r="J206" s="46">
        <f t="shared" si="97"/>
        <v>0</v>
      </c>
      <c r="K206" s="46">
        <f t="shared" si="97"/>
        <v>763.88</v>
      </c>
      <c r="L206" s="46">
        <f t="shared" si="97"/>
        <v>0</v>
      </c>
      <c r="M206" s="11"/>
      <c r="N206" s="28"/>
      <c r="O206" s="28"/>
      <c r="P206" s="28"/>
      <c r="Q206" s="28"/>
    </row>
    <row r="207" spans="1:21" ht="21.75" customHeight="1" x14ac:dyDescent="0.25">
      <c r="A207" s="79"/>
      <c r="B207" s="79"/>
      <c r="C207" s="79"/>
      <c r="D207" s="9" t="s">
        <v>15</v>
      </c>
      <c r="E207" s="49">
        <f t="shared" si="95"/>
        <v>1768004.4387099999</v>
      </c>
      <c r="F207" s="31">
        <f>F215+F222+F229+F236+F243+F250+F257+F264+F271+F278+F285+F292+F185</f>
        <v>184.82999999999998</v>
      </c>
      <c r="G207" s="46">
        <v>104.83</v>
      </c>
      <c r="H207" s="46">
        <f>H215+H222+H229+H236+H250+H264+H271+H278+H285+H292</f>
        <v>221649.16148000001</v>
      </c>
      <c r="I207" s="46">
        <f t="shared" ref="I207:L207" si="98">I215+I222+I229+I236+I243+I250+I257+I264+I271+I278+I285+I292</f>
        <v>256279.75323999999</v>
      </c>
      <c r="J207" s="46">
        <f t="shared" si="98"/>
        <v>173159.74280000001</v>
      </c>
      <c r="K207" s="46">
        <f t="shared" si="98"/>
        <v>188679.71439000001</v>
      </c>
      <c r="L207" s="46">
        <f t="shared" si="98"/>
        <v>927946.4068</v>
      </c>
      <c r="M207" s="11"/>
      <c r="N207" s="28"/>
      <c r="O207" s="28"/>
      <c r="P207" s="28"/>
      <c r="Q207" s="28"/>
    </row>
    <row r="208" spans="1:21" ht="21.75" customHeight="1" x14ac:dyDescent="0.25">
      <c r="A208" s="98" t="s">
        <v>10</v>
      </c>
      <c r="B208" s="98"/>
      <c r="C208" s="98"/>
      <c r="D208" s="9"/>
      <c r="E208" s="49"/>
      <c r="F208" s="31"/>
      <c r="G208" s="46"/>
      <c r="H208" s="51"/>
      <c r="I208" s="51"/>
      <c r="J208" s="51"/>
      <c r="K208" s="51"/>
      <c r="L208" s="50"/>
      <c r="M208" s="19"/>
    </row>
    <row r="209" spans="1:13" ht="25.5" customHeight="1" x14ac:dyDescent="0.25">
      <c r="A209" s="80" t="s">
        <v>27</v>
      </c>
      <c r="B209" s="80"/>
      <c r="C209" s="80"/>
      <c r="D209" s="8" t="s">
        <v>2</v>
      </c>
      <c r="E209" s="52">
        <f>E210+E211+E212+E213+E215</f>
        <v>1219424.81072</v>
      </c>
      <c r="F209" s="42">
        <f>F210+F211+F212+F213+F215</f>
        <v>98737.971850000002</v>
      </c>
      <c r="G209" s="45">
        <f t="shared" ref="G209:L209" si="99">G210+G211+G212+G213+G215</f>
        <v>129949.52339</v>
      </c>
      <c r="H209" s="45">
        <f t="shared" si="99"/>
        <v>99516.85759</v>
      </c>
      <c r="I209" s="45">
        <f t="shared" si="99"/>
        <v>99228.894210000013</v>
      </c>
      <c r="J209" s="45">
        <f t="shared" si="99"/>
        <v>99077.894209999999</v>
      </c>
      <c r="K209" s="45">
        <f t="shared" si="99"/>
        <v>99081.324209999992</v>
      </c>
      <c r="L209" s="45">
        <f t="shared" si="99"/>
        <v>593832.34525999997</v>
      </c>
      <c r="M209" s="19"/>
    </row>
    <row r="210" spans="1:13" ht="24.75" customHeight="1" x14ac:dyDescent="0.25">
      <c r="A210" s="80"/>
      <c r="B210" s="80"/>
      <c r="C210" s="80"/>
      <c r="D210" s="9" t="s">
        <v>14</v>
      </c>
      <c r="E210" s="46">
        <f>F210+G210+H210+I210+J210+K210+L210</f>
        <v>0</v>
      </c>
      <c r="F210" s="31">
        <f>F23+F37+F87+F51+F58+F65+F72</f>
        <v>0</v>
      </c>
      <c r="G210" s="31">
        <f t="shared" ref="G210:L210" si="100">G23+G37+G87+G51+G58+G65+G72</f>
        <v>0</v>
      </c>
      <c r="H210" s="31">
        <f t="shared" si="100"/>
        <v>0</v>
      </c>
      <c r="I210" s="31">
        <f t="shared" si="100"/>
        <v>0</v>
      </c>
      <c r="J210" s="31">
        <f t="shared" si="100"/>
        <v>0</v>
      </c>
      <c r="K210" s="31">
        <f t="shared" si="100"/>
        <v>0</v>
      </c>
      <c r="L210" s="31">
        <f t="shared" si="100"/>
        <v>0</v>
      </c>
      <c r="M210" s="19"/>
    </row>
    <row r="211" spans="1:13" ht="30.75" customHeight="1" x14ac:dyDescent="0.25">
      <c r="A211" s="80"/>
      <c r="B211" s="80"/>
      <c r="C211" s="80"/>
      <c r="D211" s="9" t="s">
        <v>5</v>
      </c>
      <c r="E211" s="46">
        <f>F211+G211+H211+I211+J211+K211+L211</f>
        <v>235</v>
      </c>
      <c r="F211" s="31">
        <f>33</f>
        <v>33</v>
      </c>
      <c r="G211" s="46">
        <v>34</v>
      </c>
      <c r="H211" s="46">
        <v>34</v>
      </c>
      <c r="I211" s="46">
        <v>34</v>
      </c>
      <c r="J211" s="46">
        <v>34</v>
      </c>
      <c r="K211" s="46">
        <v>34</v>
      </c>
      <c r="L211" s="46">
        <v>32</v>
      </c>
      <c r="M211" s="19"/>
    </row>
    <row r="212" spans="1:13" ht="21.75" customHeight="1" x14ac:dyDescent="0.25">
      <c r="A212" s="80"/>
      <c r="B212" s="80"/>
      <c r="C212" s="80"/>
      <c r="D212" s="9" t="s">
        <v>6</v>
      </c>
      <c r="E212" s="46">
        <f>F212+G212+H212+I212+J212+K212+L212</f>
        <v>615853.72042000003</v>
      </c>
      <c r="F212" s="31">
        <f t="shared" ref="F212:L212" si="101">F25+F39+F89+F53+F60+F67+F74</f>
        <v>98700.14185</v>
      </c>
      <c r="G212" s="31">
        <f t="shared" si="101"/>
        <v>129910.69339</v>
      </c>
      <c r="H212" s="31">
        <f t="shared" si="101"/>
        <v>52256.341339999999</v>
      </c>
      <c r="I212" s="31">
        <f t="shared" si="101"/>
        <v>16292.18756</v>
      </c>
      <c r="J212" s="31">
        <f t="shared" si="101"/>
        <v>54367.561410000002</v>
      </c>
      <c r="K212" s="31">
        <f t="shared" si="101"/>
        <v>37830.056409999997</v>
      </c>
      <c r="L212" s="31">
        <f t="shared" si="101"/>
        <v>226496.73845999999</v>
      </c>
      <c r="M212" s="19"/>
    </row>
    <row r="213" spans="1:13" ht="45" customHeight="1" x14ac:dyDescent="0.25">
      <c r="A213" s="80"/>
      <c r="B213" s="80"/>
      <c r="C213" s="80"/>
      <c r="D213" s="9" t="s">
        <v>13</v>
      </c>
      <c r="E213" s="46">
        <f t="shared" ref="E213:E214" si="102">F213+G213+H213+I213+J213+K213+L213</f>
        <v>0</v>
      </c>
      <c r="F213" s="31">
        <f t="shared" ref="F213:L213" si="103">F26+F40+F90+F54+F61+F68+F75</f>
        <v>0</v>
      </c>
      <c r="G213" s="31">
        <f t="shared" si="103"/>
        <v>0</v>
      </c>
      <c r="H213" s="31">
        <f t="shared" si="103"/>
        <v>0</v>
      </c>
      <c r="I213" s="31">
        <f t="shared" si="103"/>
        <v>0</v>
      </c>
      <c r="J213" s="31">
        <f t="shared" si="103"/>
        <v>0</v>
      </c>
      <c r="K213" s="31">
        <f t="shared" si="103"/>
        <v>0</v>
      </c>
      <c r="L213" s="31">
        <f t="shared" si="103"/>
        <v>0</v>
      </c>
    </row>
    <row r="214" spans="1:13" ht="45" customHeight="1" x14ac:dyDescent="0.25">
      <c r="A214" s="80"/>
      <c r="B214" s="80"/>
      <c r="C214" s="80"/>
      <c r="D214" s="9" t="s">
        <v>30</v>
      </c>
      <c r="E214" s="46">
        <f t="shared" si="102"/>
        <v>0</v>
      </c>
      <c r="F214" s="31">
        <f t="shared" ref="F214:L214" si="104">F27+F41+F91+F55+F62+F69+F76</f>
        <v>0</v>
      </c>
      <c r="G214" s="31">
        <f t="shared" si="104"/>
        <v>0</v>
      </c>
      <c r="H214" s="31">
        <f t="shared" si="104"/>
        <v>0</v>
      </c>
      <c r="I214" s="31">
        <f t="shared" si="104"/>
        <v>0</v>
      </c>
      <c r="J214" s="31">
        <f t="shared" si="104"/>
        <v>0</v>
      </c>
      <c r="K214" s="31">
        <f t="shared" si="104"/>
        <v>0</v>
      </c>
      <c r="L214" s="31">
        <f t="shared" si="104"/>
        <v>0</v>
      </c>
    </row>
    <row r="215" spans="1:13" ht="18" customHeight="1" x14ac:dyDescent="0.25">
      <c r="A215" s="80"/>
      <c r="B215" s="80"/>
      <c r="C215" s="80"/>
      <c r="D215" s="9" t="s">
        <v>15</v>
      </c>
      <c r="E215" s="46">
        <f>F215+G215+H215+I215+J215+K215+L215</f>
        <v>603336.09030000004</v>
      </c>
      <c r="F215" s="31">
        <f>F28+F42+F92+F56+F63+F70+F77</f>
        <v>4.83</v>
      </c>
      <c r="G215" s="31">
        <f t="shared" ref="G215:L215" si="105">G28+G42+G92+G56+G63+G70+G77</f>
        <v>4.83</v>
      </c>
      <c r="H215" s="31">
        <f t="shared" si="105"/>
        <v>47226.516250000001</v>
      </c>
      <c r="I215" s="31">
        <f t="shared" si="105"/>
        <v>82902.706650000007</v>
      </c>
      <c r="J215" s="31">
        <f t="shared" si="105"/>
        <v>44676.332800000004</v>
      </c>
      <c r="K215" s="31">
        <f t="shared" si="105"/>
        <v>61217.267800000001</v>
      </c>
      <c r="L215" s="31">
        <f t="shared" si="105"/>
        <v>367303.60680000001</v>
      </c>
    </row>
    <row r="216" spans="1:13" ht="21" customHeight="1" x14ac:dyDescent="0.25">
      <c r="A216" s="80" t="s">
        <v>26</v>
      </c>
      <c r="B216" s="80"/>
      <c r="C216" s="80"/>
      <c r="D216" s="8" t="s">
        <v>2</v>
      </c>
      <c r="E216" s="52">
        <f>E218+E219+E220+E222</f>
        <v>2779892.0329900002</v>
      </c>
      <c r="F216" s="42">
        <f>F217+F218+F219+F220+F222</f>
        <v>175467.57913999996</v>
      </c>
      <c r="G216" s="45">
        <f t="shared" ref="G216:L216" si="106">G217+G218+G219+G220+G222</f>
        <v>169823.10657</v>
      </c>
      <c r="H216" s="45">
        <f t="shared" si="106"/>
        <v>259723.19714</v>
      </c>
      <c r="I216" s="45">
        <f t="shared" si="106"/>
        <v>211177.79658999998</v>
      </c>
      <c r="J216" s="45">
        <f t="shared" si="106"/>
        <v>212789.72159000003</v>
      </c>
      <c r="K216" s="45">
        <f t="shared" si="106"/>
        <v>254090.25196000002</v>
      </c>
      <c r="L216" s="45">
        <f t="shared" si="106"/>
        <v>1496820.38</v>
      </c>
    </row>
    <row r="217" spans="1:13" x14ac:dyDescent="0.25">
      <c r="A217" s="80"/>
      <c r="B217" s="80"/>
      <c r="C217" s="80"/>
      <c r="D217" s="9" t="s">
        <v>14</v>
      </c>
      <c r="E217" s="46">
        <f>F217+G217+H217+I217+J217+K217+L217</f>
        <v>0</v>
      </c>
      <c r="F217" s="31">
        <f t="shared" ref="F217:L217" si="107">F16+F30+F101+F137+F144+F94+F116</f>
        <v>0</v>
      </c>
      <c r="G217" s="46">
        <f t="shared" si="107"/>
        <v>0</v>
      </c>
      <c r="H217" s="46">
        <f t="shared" si="107"/>
        <v>0</v>
      </c>
      <c r="I217" s="46">
        <f t="shared" si="107"/>
        <v>0</v>
      </c>
      <c r="J217" s="46">
        <f t="shared" si="107"/>
        <v>0</v>
      </c>
      <c r="K217" s="46">
        <f t="shared" si="107"/>
        <v>0</v>
      </c>
      <c r="L217" s="46">
        <f t="shared" si="107"/>
        <v>0</v>
      </c>
    </row>
    <row r="218" spans="1:13" ht="30" x14ac:dyDescent="0.25">
      <c r="A218" s="80"/>
      <c r="B218" s="80"/>
      <c r="C218" s="80"/>
      <c r="D218" s="9" t="s">
        <v>5</v>
      </c>
      <c r="E218" s="46">
        <f>F218+G218+H218+I218+J218+K218+L218</f>
        <v>133124.5</v>
      </c>
      <c r="F218" s="31">
        <f>F17+F31+F102+F138+F145+F95+F117-33</f>
        <v>7225.4</v>
      </c>
      <c r="G218" s="46">
        <f>G17+G31+G102+G138+G145+G95+G117-34</f>
        <v>10552.5</v>
      </c>
      <c r="H218" s="46">
        <f>H17+H31+H102+H138+H145+H95+H117-34</f>
        <v>14409.9</v>
      </c>
      <c r="I218" s="46">
        <f>I17+I31+I102+I138+I145+I95+I117-34</f>
        <v>11743.8</v>
      </c>
      <c r="J218" s="46">
        <f>J17+J31+J102+J138+J145+J95+J117-34</f>
        <v>10484.299999999999</v>
      </c>
      <c r="K218" s="46">
        <f>K17+K31+K102+K138+K145+K95+K117-33</f>
        <v>11712.7</v>
      </c>
      <c r="L218" s="46">
        <f>L17+L31+L102+L138+L145+L95+L117-33</f>
        <v>66995.899999999994</v>
      </c>
      <c r="M218" s="14"/>
    </row>
    <row r="219" spans="1:13" x14ac:dyDescent="0.25">
      <c r="A219" s="80"/>
      <c r="B219" s="80"/>
      <c r="C219" s="80"/>
      <c r="D219" s="9" t="s">
        <v>6</v>
      </c>
      <c r="E219" s="46">
        <f>F219+G219+H219+I219+J219+K219+L219</f>
        <v>1622055.16613</v>
      </c>
      <c r="F219" s="31">
        <f t="shared" ref="F219:L222" si="108">F18+F32+F103+F139+F146+F96+F118</f>
        <v>168005.37181999997</v>
      </c>
      <c r="G219" s="46">
        <f t="shared" si="108"/>
        <v>158183.39543999999</v>
      </c>
      <c r="H219" s="46">
        <f t="shared" si="108"/>
        <v>99290.651910000015</v>
      </c>
      <c r="I219" s="46">
        <f t="shared" si="108"/>
        <v>35456.949999999997</v>
      </c>
      <c r="J219" s="46">
        <f t="shared" si="108"/>
        <v>108822.01159000001</v>
      </c>
      <c r="K219" s="46">
        <f t="shared" si="108"/>
        <v>153015.10537</v>
      </c>
      <c r="L219" s="46">
        <f t="shared" si="108"/>
        <v>899281.67999999993</v>
      </c>
    </row>
    <row r="220" spans="1:13" ht="45" x14ac:dyDescent="0.25">
      <c r="A220" s="80"/>
      <c r="B220" s="80"/>
      <c r="C220" s="80"/>
      <c r="D220" s="9" t="s">
        <v>13</v>
      </c>
      <c r="E220" s="46">
        <f>F220+G220+H220+I220+J220+K220+L220</f>
        <v>1124.01845</v>
      </c>
      <c r="F220" s="31">
        <f t="shared" si="108"/>
        <v>136.80732</v>
      </c>
      <c r="G220" s="46">
        <f t="shared" si="108"/>
        <v>987.21112999999991</v>
      </c>
      <c r="H220" s="46">
        <f t="shared" si="108"/>
        <v>0</v>
      </c>
      <c r="I220" s="46">
        <f t="shared" si="108"/>
        <v>0</v>
      </c>
      <c r="J220" s="46">
        <f t="shared" si="108"/>
        <v>0</v>
      </c>
      <c r="K220" s="46">
        <f t="shared" si="108"/>
        <v>0</v>
      </c>
      <c r="L220" s="46">
        <f t="shared" si="108"/>
        <v>0</v>
      </c>
    </row>
    <row r="221" spans="1:13" x14ac:dyDescent="0.25">
      <c r="A221" s="80"/>
      <c r="B221" s="80"/>
      <c r="C221" s="80"/>
      <c r="D221" s="9" t="s">
        <v>30</v>
      </c>
      <c r="E221" s="46">
        <f t="shared" ref="E221:E222" si="109">F221+G221+H221+I221+J221+K221+L221</f>
        <v>0</v>
      </c>
      <c r="F221" s="31">
        <f t="shared" si="108"/>
        <v>0</v>
      </c>
      <c r="G221" s="46">
        <f t="shared" si="108"/>
        <v>0</v>
      </c>
      <c r="H221" s="46">
        <f t="shared" si="108"/>
        <v>0</v>
      </c>
      <c r="I221" s="46">
        <f t="shared" si="108"/>
        <v>0</v>
      </c>
      <c r="J221" s="46">
        <f t="shared" si="108"/>
        <v>0</v>
      </c>
      <c r="K221" s="46">
        <f t="shared" si="108"/>
        <v>0</v>
      </c>
      <c r="L221" s="46">
        <f t="shared" si="108"/>
        <v>0</v>
      </c>
    </row>
    <row r="222" spans="1:13" ht="24.75" customHeight="1" x14ac:dyDescent="0.25">
      <c r="A222" s="80"/>
      <c r="B222" s="80"/>
      <c r="C222" s="80"/>
      <c r="D222" s="9" t="s">
        <v>15</v>
      </c>
      <c r="E222" s="46">
        <f t="shared" si="109"/>
        <v>1023588.3484100001</v>
      </c>
      <c r="F222" s="31">
        <f t="shared" si="108"/>
        <v>100</v>
      </c>
      <c r="G222" s="46">
        <f t="shared" si="108"/>
        <v>100</v>
      </c>
      <c r="H222" s="46">
        <f t="shared" si="108"/>
        <v>146022.64522999999</v>
      </c>
      <c r="I222" s="46">
        <f t="shared" si="108"/>
        <v>163977.04658999998</v>
      </c>
      <c r="J222" s="46">
        <f t="shared" si="108"/>
        <v>93483.41</v>
      </c>
      <c r="K222" s="46">
        <f t="shared" si="108"/>
        <v>89362.446590000007</v>
      </c>
      <c r="L222" s="46">
        <f t="shared" si="108"/>
        <v>530542.80000000005</v>
      </c>
    </row>
    <row r="223" spans="1:13" ht="24.75" customHeight="1" x14ac:dyDescent="0.25">
      <c r="A223" s="80" t="s">
        <v>72</v>
      </c>
      <c r="B223" s="80"/>
      <c r="C223" s="80"/>
      <c r="D223" s="8" t="s">
        <v>2</v>
      </c>
      <c r="E223" s="52">
        <f>E225+E226+E227+E229</f>
        <v>114782.63</v>
      </c>
      <c r="F223" s="42">
        <f t="shared" ref="F223:L223" si="110">F225+F226+F227+F229</f>
        <v>6000</v>
      </c>
      <c r="G223" s="45">
        <f t="shared" si="110"/>
        <v>482.63</v>
      </c>
      <c r="H223" s="45">
        <f t="shared" si="110"/>
        <v>28500</v>
      </c>
      <c r="I223" s="45">
        <f t="shared" si="110"/>
        <v>9500</v>
      </c>
      <c r="J223" s="45">
        <f t="shared" si="110"/>
        <v>35100</v>
      </c>
      <c r="K223" s="45">
        <f t="shared" si="110"/>
        <v>5100</v>
      </c>
      <c r="L223" s="45">
        <f t="shared" si="110"/>
        <v>30100</v>
      </c>
      <c r="M223" s="11"/>
    </row>
    <row r="224" spans="1:13" ht="24.75" customHeight="1" x14ac:dyDescent="0.25">
      <c r="A224" s="80"/>
      <c r="B224" s="80"/>
      <c r="C224" s="80"/>
      <c r="D224" s="9" t="s">
        <v>14</v>
      </c>
      <c r="E224" s="46">
        <f>F224+G224+H224+I224+J224+K224+L224</f>
        <v>0</v>
      </c>
      <c r="F224" s="31">
        <f t="shared" ref="F224:L224" si="111">F123+F130</f>
        <v>0</v>
      </c>
      <c r="G224" s="46">
        <f t="shared" si="111"/>
        <v>0</v>
      </c>
      <c r="H224" s="46">
        <f t="shared" si="111"/>
        <v>0</v>
      </c>
      <c r="I224" s="46">
        <f t="shared" si="111"/>
        <v>0</v>
      </c>
      <c r="J224" s="46">
        <f t="shared" si="111"/>
        <v>0</v>
      </c>
      <c r="K224" s="46">
        <f t="shared" si="111"/>
        <v>0</v>
      </c>
      <c r="L224" s="46">
        <f t="shared" si="111"/>
        <v>0</v>
      </c>
    </row>
    <row r="225" spans="1:13" ht="24.75" customHeight="1" x14ac:dyDescent="0.25">
      <c r="A225" s="80"/>
      <c r="B225" s="80"/>
      <c r="C225" s="80"/>
      <c r="D225" s="9" t="s">
        <v>5</v>
      </c>
      <c r="E225" s="46">
        <f t="shared" ref="E225:E228" si="112">F225+G225+H225+I225+J225+K225+L225</f>
        <v>0</v>
      </c>
      <c r="F225" s="31">
        <f t="shared" ref="F225:L225" si="113">F124+F131</f>
        <v>0</v>
      </c>
      <c r="G225" s="46">
        <f t="shared" si="113"/>
        <v>0</v>
      </c>
      <c r="H225" s="46">
        <f t="shared" si="113"/>
        <v>0</v>
      </c>
      <c r="I225" s="46">
        <f t="shared" si="113"/>
        <v>0</v>
      </c>
      <c r="J225" s="46">
        <f t="shared" si="113"/>
        <v>0</v>
      </c>
      <c r="K225" s="46">
        <f t="shared" si="113"/>
        <v>0</v>
      </c>
      <c r="L225" s="46">
        <f t="shared" si="113"/>
        <v>0</v>
      </c>
    </row>
    <row r="226" spans="1:13" ht="24.75" customHeight="1" x14ac:dyDescent="0.25">
      <c r="A226" s="80"/>
      <c r="B226" s="80"/>
      <c r="C226" s="80"/>
      <c r="D226" s="9" t="s">
        <v>6</v>
      </c>
      <c r="E226" s="46">
        <f>F226+G226+H226+I226+J226+K226+L226</f>
        <v>6782.63</v>
      </c>
      <c r="F226" s="31">
        <f>F125+F132</f>
        <v>6000</v>
      </c>
      <c r="G226" s="46">
        <f t="shared" ref="G226:L226" si="114">G125+G132</f>
        <v>482.63</v>
      </c>
      <c r="H226" s="46">
        <f t="shared" si="114"/>
        <v>100</v>
      </c>
      <c r="I226" s="46">
        <f t="shared" si="114"/>
        <v>100</v>
      </c>
      <c r="J226" s="46">
        <f t="shared" si="114"/>
        <v>100</v>
      </c>
      <c r="K226" s="46">
        <f t="shared" si="114"/>
        <v>0</v>
      </c>
      <c r="L226" s="46">
        <f t="shared" si="114"/>
        <v>0</v>
      </c>
    </row>
    <row r="227" spans="1:13" ht="47.25" customHeight="1" x14ac:dyDescent="0.25">
      <c r="A227" s="80"/>
      <c r="B227" s="80"/>
      <c r="C227" s="80"/>
      <c r="D227" s="9" t="s">
        <v>13</v>
      </c>
      <c r="E227" s="46">
        <f t="shared" si="112"/>
        <v>0</v>
      </c>
      <c r="F227" s="31">
        <f t="shared" ref="F227:L227" si="115">F126+F133</f>
        <v>0</v>
      </c>
      <c r="G227" s="46">
        <f t="shared" si="115"/>
        <v>0</v>
      </c>
      <c r="H227" s="46">
        <f t="shared" si="115"/>
        <v>0</v>
      </c>
      <c r="I227" s="46">
        <f t="shared" si="115"/>
        <v>0</v>
      </c>
      <c r="J227" s="46">
        <f t="shared" si="115"/>
        <v>0</v>
      </c>
      <c r="K227" s="46">
        <f t="shared" si="115"/>
        <v>0</v>
      </c>
      <c r="L227" s="46">
        <f t="shared" si="115"/>
        <v>0</v>
      </c>
    </row>
    <row r="228" spans="1:13" ht="24.75" customHeight="1" x14ac:dyDescent="0.25">
      <c r="A228" s="80"/>
      <c r="B228" s="80"/>
      <c r="C228" s="80"/>
      <c r="D228" s="9" t="s">
        <v>30</v>
      </c>
      <c r="E228" s="46">
        <f t="shared" si="112"/>
        <v>0</v>
      </c>
      <c r="F228" s="31">
        <f t="shared" ref="F228:L228" si="116">F127+F134</f>
        <v>0</v>
      </c>
      <c r="G228" s="46">
        <f t="shared" si="116"/>
        <v>0</v>
      </c>
      <c r="H228" s="46">
        <f t="shared" si="116"/>
        <v>0</v>
      </c>
      <c r="I228" s="46">
        <f t="shared" si="116"/>
        <v>0</v>
      </c>
      <c r="J228" s="46">
        <f t="shared" si="116"/>
        <v>0</v>
      </c>
      <c r="K228" s="46">
        <f t="shared" si="116"/>
        <v>0</v>
      </c>
      <c r="L228" s="46">
        <f t="shared" si="116"/>
        <v>0</v>
      </c>
    </row>
    <row r="229" spans="1:13" ht="24.75" customHeight="1" x14ac:dyDescent="0.25">
      <c r="A229" s="80"/>
      <c r="B229" s="80"/>
      <c r="C229" s="80"/>
      <c r="D229" s="9" t="s">
        <v>15</v>
      </c>
      <c r="E229" s="46">
        <f>F229+G229+H229+I229+J229+K229+L229</f>
        <v>108000</v>
      </c>
      <c r="F229" s="31">
        <f>F128+F135</f>
        <v>0</v>
      </c>
      <c r="G229" s="46">
        <f t="shared" ref="G229:L229" si="117">G128+G135</f>
        <v>0</v>
      </c>
      <c r="H229" s="46">
        <f>H128+H135</f>
        <v>28400</v>
      </c>
      <c r="I229" s="46">
        <f t="shared" si="117"/>
        <v>9400</v>
      </c>
      <c r="J229" s="46">
        <f t="shared" si="117"/>
        <v>35000</v>
      </c>
      <c r="K229" s="46">
        <f t="shared" si="117"/>
        <v>5100</v>
      </c>
      <c r="L229" s="46">
        <f t="shared" si="117"/>
        <v>30100</v>
      </c>
    </row>
    <row r="230" spans="1:13" ht="24.75" customHeight="1" x14ac:dyDescent="0.25">
      <c r="A230" s="80" t="s">
        <v>53</v>
      </c>
      <c r="B230" s="80"/>
      <c r="C230" s="80"/>
      <c r="D230" s="8" t="s">
        <v>2</v>
      </c>
      <c r="E230" s="52">
        <f>E232+E233+E234+E236</f>
        <v>186093.95426</v>
      </c>
      <c r="F230" s="42">
        <f t="shared" ref="F230:K230" si="118">F232+F233+F234+F236</f>
        <v>31444.17885</v>
      </c>
      <c r="G230" s="45">
        <f t="shared" si="118"/>
        <v>27025.28198</v>
      </c>
      <c r="H230" s="45">
        <f>H232+H233+H234+H236</f>
        <v>28624.493429999999</v>
      </c>
      <c r="I230" s="45">
        <f t="shared" si="118"/>
        <v>33000</v>
      </c>
      <c r="J230" s="45">
        <f t="shared" si="118"/>
        <v>33000</v>
      </c>
      <c r="K230" s="45">
        <f t="shared" si="118"/>
        <v>33000</v>
      </c>
      <c r="L230" s="45">
        <v>0</v>
      </c>
      <c r="M230" s="11"/>
    </row>
    <row r="231" spans="1:13" ht="24.75" customHeight="1" x14ac:dyDescent="0.25">
      <c r="A231" s="80"/>
      <c r="B231" s="80"/>
      <c r="C231" s="80"/>
      <c r="D231" s="9" t="s">
        <v>14</v>
      </c>
      <c r="E231" s="46">
        <f>F231+G231+H231+I231+J231+K231+L231</f>
        <v>0</v>
      </c>
      <c r="F231" s="31">
        <f>F166</f>
        <v>0</v>
      </c>
      <c r="G231" s="46">
        <f>G166+G173</f>
        <v>0</v>
      </c>
      <c r="H231" s="46">
        <f t="shared" ref="H231:K231" si="119">H166+H173</f>
        <v>0</v>
      </c>
      <c r="I231" s="46">
        <f t="shared" si="119"/>
        <v>0</v>
      </c>
      <c r="J231" s="46">
        <f t="shared" si="119"/>
        <v>0</v>
      </c>
      <c r="K231" s="46">
        <f t="shared" si="119"/>
        <v>0</v>
      </c>
      <c r="L231" s="46">
        <f t="shared" ref="L231" si="120">L166</f>
        <v>0</v>
      </c>
      <c r="M231" s="22"/>
    </row>
    <row r="232" spans="1:13" ht="24.75" customHeight="1" x14ac:dyDescent="0.25">
      <c r="A232" s="80"/>
      <c r="B232" s="80"/>
      <c r="C232" s="80"/>
      <c r="D232" s="9" t="s">
        <v>5</v>
      </c>
      <c r="E232" s="46">
        <f>F232+G232+H232+I232+J232+K232+L232</f>
        <v>0</v>
      </c>
      <c r="F232" s="31">
        <v>0</v>
      </c>
      <c r="G232" s="46"/>
      <c r="H232" s="46">
        <v>0</v>
      </c>
      <c r="I232" s="46">
        <v>0</v>
      </c>
      <c r="J232" s="46">
        <f t="shared" ref="J232:K232" si="121">J167+J174</f>
        <v>0</v>
      </c>
      <c r="K232" s="46">
        <f t="shared" si="121"/>
        <v>0</v>
      </c>
      <c r="L232" s="46">
        <f t="shared" ref="L232" si="122">L167</f>
        <v>0</v>
      </c>
    </row>
    <row r="233" spans="1:13" ht="24.75" customHeight="1" x14ac:dyDescent="0.25">
      <c r="A233" s="80"/>
      <c r="B233" s="80"/>
      <c r="C233" s="80"/>
      <c r="D233" s="9" t="s">
        <v>6</v>
      </c>
      <c r="E233" s="46">
        <f t="shared" ref="E233:E234" si="123">F233+G233+H233+I233+J233+K233+L233</f>
        <v>153173.95426</v>
      </c>
      <c r="F233" s="31">
        <f>F168</f>
        <v>31444.17885</v>
      </c>
      <c r="G233" s="46">
        <f>G168</f>
        <v>27105.28198</v>
      </c>
      <c r="H233" s="46">
        <f>H168</f>
        <v>28624.493429999999</v>
      </c>
      <c r="I233" s="46">
        <f>I168+I175</f>
        <v>33000</v>
      </c>
      <c r="J233" s="46">
        <f t="shared" ref="J233:K233" si="124">J168+J175</f>
        <v>33000</v>
      </c>
      <c r="K233" s="46">
        <f t="shared" si="124"/>
        <v>0</v>
      </c>
      <c r="L233" s="46">
        <f t="shared" ref="L233" si="125">L168</f>
        <v>0</v>
      </c>
    </row>
    <row r="234" spans="1:13" ht="24.75" customHeight="1" x14ac:dyDescent="0.25">
      <c r="A234" s="80"/>
      <c r="B234" s="80"/>
      <c r="C234" s="80"/>
      <c r="D234" s="9" t="s">
        <v>13</v>
      </c>
      <c r="E234" s="46">
        <f t="shared" si="123"/>
        <v>0</v>
      </c>
      <c r="F234" s="31">
        <f t="shared" ref="F234:L234" si="126">F169</f>
        <v>0</v>
      </c>
      <c r="G234" s="46">
        <f t="shared" ref="G234:K234" si="127">G169+G176</f>
        <v>0</v>
      </c>
      <c r="H234" s="46">
        <f t="shared" si="127"/>
        <v>0</v>
      </c>
      <c r="I234" s="46">
        <f t="shared" si="127"/>
        <v>0</v>
      </c>
      <c r="J234" s="46">
        <f t="shared" si="127"/>
        <v>0</v>
      </c>
      <c r="K234" s="46">
        <f t="shared" si="127"/>
        <v>0</v>
      </c>
      <c r="L234" s="46">
        <f t="shared" si="126"/>
        <v>0</v>
      </c>
    </row>
    <row r="235" spans="1:13" ht="24.75" customHeight="1" x14ac:dyDescent="0.25">
      <c r="A235" s="80"/>
      <c r="B235" s="80"/>
      <c r="C235" s="80"/>
      <c r="D235" s="9" t="s">
        <v>30</v>
      </c>
      <c r="E235" s="46">
        <f>F235+G235+H235+I235+J235+K235+L235</f>
        <v>0</v>
      </c>
      <c r="F235" s="31">
        <v>0</v>
      </c>
      <c r="G235" s="46">
        <v>0</v>
      </c>
      <c r="H235" s="46">
        <v>0</v>
      </c>
      <c r="I235" s="46">
        <v>0</v>
      </c>
      <c r="J235" s="46">
        <f t="shared" ref="J235:K235" si="128">J170+J177</f>
        <v>0</v>
      </c>
      <c r="K235" s="46">
        <f t="shared" si="128"/>
        <v>0</v>
      </c>
      <c r="L235" s="46">
        <f t="shared" ref="L235" si="129">L170</f>
        <v>0</v>
      </c>
    </row>
    <row r="236" spans="1:13" ht="24.75" customHeight="1" x14ac:dyDescent="0.25">
      <c r="A236" s="80"/>
      <c r="B236" s="80"/>
      <c r="C236" s="80"/>
      <c r="D236" s="9" t="s">
        <v>15</v>
      </c>
      <c r="E236" s="46">
        <f>F236+G236+H236+I236+J236+K236+L236</f>
        <v>32920</v>
      </c>
      <c r="F236" s="31">
        <v>0</v>
      </c>
      <c r="G236" s="46">
        <f>G171+G178-80</f>
        <v>-80</v>
      </c>
      <c r="H236" s="46">
        <f>H171+H178-0</f>
        <v>0</v>
      </c>
      <c r="I236" s="46">
        <f>I171+I178-0</f>
        <v>0</v>
      </c>
      <c r="J236" s="46">
        <f>J171+J178-0</f>
        <v>0</v>
      </c>
      <c r="K236" s="46">
        <f>K171+K178-0</f>
        <v>33000</v>
      </c>
      <c r="L236" s="46">
        <f t="shared" ref="L236" si="130">L171</f>
        <v>0</v>
      </c>
    </row>
    <row r="237" spans="1:13" ht="24.75" customHeight="1" x14ac:dyDescent="0.25">
      <c r="A237" s="80" t="s">
        <v>54</v>
      </c>
      <c r="B237" s="80"/>
      <c r="C237" s="80"/>
      <c r="D237" s="8" t="s">
        <v>2</v>
      </c>
      <c r="E237" s="52">
        <f>E238+E239+E240+E243</f>
        <v>53128.295169999998</v>
      </c>
      <c r="F237" s="42">
        <f t="shared" ref="F237:L237" si="131">F239+F240+F241+F243</f>
        <v>20630.726750000002</v>
      </c>
      <c r="G237" s="45">
        <f>G238+G239+G240+G241+G243</f>
        <v>27670.851419999999</v>
      </c>
      <c r="H237" s="45">
        <f t="shared" ref="H237:I237" si="132">H238+H239+H240+H241+H243</f>
        <v>0</v>
      </c>
      <c r="I237" s="45">
        <f t="shared" si="132"/>
        <v>2413.3584999999998</v>
      </c>
      <c r="J237" s="45">
        <f t="shared" si="131"/>
        <v>1660.3794499999999</v>
      </c>
      <c r="K237" s="45">
        <f t="shared" si="131"/>
        <v>0</v>
      </c>
      <c r="L237" s="45">
        <f t="shared" si="131"/>
        <v>0</v>
      </c>
    </row>
    <row r="238" spans="1:13" ht="24.75" customHeight="1" x14ac:dyDescent="0.25">
      <c r="A238" s="80"/>
      <c r="B238" s="80"/>
      <c r="C238" s="80"/>
      <c r="D238" s="9" t="s">
        <v>14</v>
      </c>
      <c r="E238" s="46">
        <f>F238+G238+H238+I238+J238+K238+L238</f>
        <v>4215.7581</v>
      </c>
      <c r="F238" s="31">
        <f>F166</f>
        <v>0</v>
      </c>
      <c r="G238" s="46">
        <v>2709.8</v>
      </c>
      <c r="H238" s="46">
        <v>0</v>
      </c>
      <c r="I238" s="46">
        <v>752.97905000000003</v>
      </c>
      <c r="J238" s="46">
        <v>752.97905000000003</v>
      </c>
      <c r="K238" s="46">
        <f t="shared" ref="K238:L238" si="133">K88</f>
        <v>0</v>
      </c>
      <c r="L238" s="46">
        <f t="shared" si="133"/>
        <v>0</v>
      </c>
      <c r="M238" s="11"/>
    </row>
    <row r="239" spans="1:13" ht="24.75" customHeight="1" x14ac:dyDescent="0.25">
      <c r="A239" s="80"/>
      <c r="B239" s="80"/>
      <c r="C239" s="80"/>
      <c r="D239" s="9" t="s">
        <v>5</v>
      </c>
      <c r="E239" s="46">
        <f>F239+G239+H239+I239+J239+K239+L239</f>
        <v>38075.20203</v>
      </c>
      <c r="F239" s="31">
        <f>4000+1617.9782+8863.4032</f>
        <v>14481.3814</v>
      </c>
      <c r="G239" s="44">
        <f>4238.5-0.09487+5000+4000+4000+4000</f>
        <v>21238.405129999999</v>
      </c>
      <c r="H239" s="46">
        <v>0</v>
      </c>
      <c r="I239" s="46">
        <v>1177.70775</v>
      </c>
      <c r="J239" s="46">
        <v>1177.70775</v>
      </c>
      <c r="K239" s="46">
        <v>0</v>
      </c>
      <c r="L239" s="46">
        <v>0</v>
      </c>
      <c r="M239" s="37"/>
    </row>
    <row r="240" spans="1:13" ht="24.75" customHeight="1" x14ac:dyDescent="0.25">
      <c r="A240" s="80"/>
      <c r="B240" s="80"/>
      <c r="C240" s="80"/>
      <c r="D240" s="9" t="s">
        <v>6</v>
      </c>
      <c r="E240" s="46">
        <f>F240+G240+H240+I240+J240+K240+L240</f>
        <v>10837.335040000002</v>
      </c>
      <c r="F240" s="31">
        <f>3529+404.49455+2215.8508</f>
        <v>6149.3453499999996</v>
      </c>
      <c r="G240" s="46">
        <f>1737.075-0.0237+1985.59499</f>
        <v>3722.6462900000001</v>
      </c>
      <c r="H240" s="46">
        <v>0</v>
      </c>
      <c r="I240" s="46">
        <v>482.67169999999999</v>
      </c>
      <c r="J240" s="46">
        <v>482.67169999999999</v>
      </c>
      <c r="K240" s="46">
        <f t="shared" ref="K240:L240" si="134">K90</f>
        <v>0</v>
      </c>
      <c r="L240" s="46">
        <f t="shared" si="134"/>
        <v>0</v>
      </c>
      <c r="M240" s="28"/>
    </row>
    <row r="241" spans="1:15" ht="24.75" customHeight="1" x14ac:dyDescent="0.25">
      <c r="A241" s="80"/>
      <c r="B241" s="80"/>
      <c r="C241" s="80"/>
      <c r="D241" s="9" t="s">
        <v>13</v>
      </c>
      <c r="E241" s="46">
        <f t="shared" ref="E241:E243" si="135">F241+G241+H241+I241+J241+K241+L241</f>
        <v>0</v>
      </c>
      <c r="F241" s="31">
        <f t="shared" ref="F241:L241" si="136">F91</f>
        <v>0</v>
      </c>
      <c r="G241" s="46">
        <f t="shared" si="136"/>
        <v>0</v>
      </c>
      <c r="H241" s="46">
        <f t="shared" si="136"/>
        <v>0</v>
      </c>
      <c r="I241" s="46">
        <f t="shared" si="136"/>
        <v>0</v>
      </c>
      <c r="J241" s="46">
        <f t="shared" si="136"/>
        <v>0</v>
      </c>
      <c r="K241" s="46">
        <f t="shared" si="136"/>
        <v>0</v>
      </c>
      <c r="L241" s="46">
        <f t="shared" si="136"/>
        <v>0</v>
      </c>
      <c r="M241" s="28"/>
    </row>
    <row r="242" spans="1:15" ht="24.75" customHeight="1" x14ac:dyDescent="0.25">
      <c r="A242" s="80"/>
      <c r="B242" s="80"/>
      <c r="C242" s="80"/>
      <c r="D242" s="9" t="s">
        <v>30</v>
      </c>
      <c r="E242" s="46">
        <f>F242+G242+H242+I242+J242+K242+L242</f>
        <v>45593.854269999996</v>
      </c>
      <c r="F242" s="31">
        <f>2637.83259+1756.39311</f>
        <v>4394.2257</v>
      </c>
      <c r="G242" s="46">
        <f>21900+2180.73+242.11762+40.40404</f>
        <v>24363.251660000002</v>
      </c>
      <c r="H242" s="46">
        <f>836.37691+9500+2000+4000+500</f>
        <v>16836.376909999999</v>
      </c>
      <c r="I242" s="46">
        <f t="shared" ref="I242:L242" si="137">I92</f>
        <v>0</v>
      </c>
      <c r="J242" s="46">
        <f t="shared" si="137"/>
        <v>0</v>
      </c>
      <c r="K242" s="46">
        <f t="shared" si="137"/>
        <v>0</v>
      </c>
      <c r="L242" s="46">
        <f t="shared" si="137"/>
        <v>0</v>
      </c>
      <c r="M242" s="11"/>
    </row>
    <row r="243" spans="1:15" ht="24.75" customHeight="1" x14ac:dyDescent="0.25">
      <c r="A243" s="80"/>
      <c r="B243" s="80"/>
      <c r="C243" s="80"/>
      <c r="D243" s="9" t="s">
        <v>15</v>
      </c>
      <c r="E243" s="46">
        <f t="shared" si="135"/>
        <v>0</v>
      </c>
      <c r="F243" s="31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</v>
      </c>
      <c r="M243" s="28"/>
    </row>
    <row r="244" spans="1:15" ht="24.75" customHeight="1" x14ac:dyDescent="0.25">
      <c r="A244" s="80" t="s">
        <v>55</v>
      </c>
      <c r="B244" s="80"/>
      <c r="C244" s="80"/>
      <c r="D244" s="8" t="s">
        <v>2</v>
      </c>
      <c r="E244" s="52">
        <f>E245+E246+E247+E248+E250</f>
        <v>18423.38724</v>
      </c>
      <c r="F244" s="42">
        <f>F245+F246+F247+F248+F250</f>
        <v>14547.918750000001</v>
      </c>
      <c r="G244" s="45">
        <f t="shared" ref="G244:K244" si="138">G246+G247+G248+G250</f>
        <v>1129.5887299999999</v>
      </c>
      <c r="H244" s="45">
        <f>H245+H246+H247+H248+H250</f>
        <v>0</v>
      </c>
      <c r="I244" s="45">
        <f>I245+I246+I247+I248+I250</f>
        <v>1372.9398800000001</v>
      </c>
      <c r="J244" s="45">
        <f t="shared" si="138"/>
        <v>944.57627000000002</v>
      </c>
      <c r="K244" s="45">
        <f t="shared" si="138"/>
        <v>0</v>
      </c>
      <c r="L244" s="45">
        <v>0</v>
      </c>
    </row>
    <row r="245" spans="1:15" ht="24.75" customHeight="1" x14ac:dyDescent="0.25">
      <c r="A245" s="80"/>
      <c r="B245" s="80"/>
      <c r="C245" s="80"/>
      <c r="D245" s="9" t="s">
        <v>14</v>
      </c>
      <c r="E245" s="46">
        <f>F245+G245+H245+I245+J245+K245+L245</f>
        <v>4639.8266700000004</v>
      </c>
      <c r="F245" s="31">
        <f>2907.7+60.9702+814.42925</f>
        <v>3783.0994500000002</v>
      </c>
      <c r="G245" s="46">
        <v>0</v>
      </c>
      <c r="H245" s="46">
        <v>0</v>
      </c>
      <c r="I245" s="46">
        <v>428.36360999999999</v>
      </c>
      <c r="J245" s="46">
        <v>428.36360999999999</v>
      </c>
      <c r="K245" s="46">
        <v>0</v>
      </c>
      <c r="L245" s="46">
        <v>0</v>
      </c>
    </row>
    <row r="246" spans="1:15" ht="24.75" customHeight="1" x14ac:dyDescent="0.25">
      <c r="A246" s="80"/>
      <c r="B246" s="80"/>
      <c r="C246" s="80"/>
      <c r="D246" s="9" t="s">
        <v>5</v>
      </c>
      <c r="E246" s="46">
        <f t="shared" ref="E246:E250" si="139">F246+G246+H246+I246+J246+K246+L246</f>
        <v>7589.1321300000009</v>
      </c>
      <c r="F246" s="31">
        <f>4548+95.30467+1273.85088+332</f>
        <v>6249.1555500000004</v>
      </c>
      <c r="G246" s="46">
        <v>0</v>
      </c>
      <c r="H246" s="46">
        <v>0</v>
      </c>
      <c r="I246" s="46">
        <v>669.98829000000001</v>
      </c>
      <c r="J246" s="46">
        <v>669.98829000000001</v>
      </c>
      <c r="K246" s="46">
        <f t="shared" ref="K246:L246" si="140">K103</f>
        <v>0</v>
      </c>
      <c r="L246" s="46">
        <f t="shared" si="140"/>
        <v>0</v>
      </c>
    </row>
    <row r="247" spans="1:15" ht="24.75" customHeight="1" x14ac:dyDescent="0.25">
      <c r="A247" s="80"/>
      <c r="B247" s="80"/>
      <c r="C247" s="80"/>
      <c r="D247" s="9" t="s">
        <v>6</v>
      </c>
      <c r="E247" s="46">
        <f t="shared" si="139"/>
        <v>6194.4284399999997</v>
      </c>
      <c r="F247" s="31">
        <f>1864+38.99372+2007.6+522.07003+83</f>
        <v>4515.6637499999997</v>
      </c>
      <c r="G247" s="46">
        <v>1129.5887299999999</v>
      </c>
      <c r="H247" s="46">
        <v>0</v>
      </c>
      <c r="I247" s="46">
        <v>274.58798000000002</v>
      </c>
      <c r="J247" s="46">
        <v>274.58798000000002</v>
      </c>
      <c r="K247" s="46">
        <f t="shared" ref="J247:L248" si="141">K104</f>
        <v>0</v>
      </c>
      <c r="L247" s="46">
        <f t="shared" si="141"/>
        <v>0</v>
      </c>
      <c r="O247" s="23"/>
    </row>
    <row r="248" spans="1:15" ht="24.75" customHeight="1" x14ac:dyDescent="0.25">
      <c r="A248" s="80"/>
      <c r="B248" s="80"/>
      <c r="C248" s="80"/>
      <c r="D248" s="9" t="s">
        <v>13</v>
      </c>
      <c r="E248" s="46">
        <f t="shared" si="139"/>
        <v>0</v>
      </c>
      <c r="F248" s="31">
        <f>F105</f>
        <v>0</v>
      </c>
      <c r="G248" s="46">
        <v>0</v>
      </c>
      <c r="H248" s="46">
        <f>H105</f>
        <v>0</v>
      </c>
      <c r="I248" s="46">
        <f>I105</f>
        <v>0</v>
      </c>
      <c r="J248" s="46">
        <f t="shared" si="141"/>
        <v>0</v>
      </c>
      <c r="K248" s="46">
        <f t="shared" si="141"/>
        <v>0</v>
      </c>
      <c r="L248" s="46">
        <f t="shared" si="141"/>
        <v>0</v>
      </c>
      <c r="O248" s="3" t="s">
        <v>61</v>
      </c>
    </row>
    <row r="249" spans="1:15" ht="24.75" customHeight="1" x14ac:dyDescent="0.25">
      <c r="A249" s="80"/>
      <c r="B249" s="80"/>
      <c r="C249" s="80"/>
      <c r="D249" s="9" t="s">
        <v>30</v>
      </c>
      <c r="E249" s="46">
        <f>F249+G249+H249+I249+J249+K249+L249</f>
        <v>13812.82488</v>
      </c>
      <c r="F249" s="31">
        <f>9063.57498-994.05024+5094.86454</f>
        <v>13164.389279999999</v>
      </c>
      <c r="G249" s="46">
        <f>100</f>
        <v>100</v>
      </c>
      <c r="H249" s="46">
        <f>548.4356</f>
        <v>548.43560000000002</v>
      </c>
      <c r="I249" s="46">
        <v>0</v>
      </c>
      <c r="J249" s="46">
        <v>0</v>
      </c>
      <c r="K249" s="46">
        <v>0</v>
      </c>
      <c r="L249" s="46">
        <v>0</v>
      </c>
      <c r="M249" s="19"/>
    </row>
    <row r="250" spans="1:15" ht="24.75" customHeight="1" x14ac:dyDescent="0.25">
      <c r="A250" s="80"/>
      <c r="B250" s="80"/>
      <c r="C250" s="80"/>
      <c r="D250" s="9" t="s">
        <v>15</v>
      </c>
      <c r="E250" s="46">
        <f t="shared" si="139"/>
        <v>0</v>
      </c>
      <c r="F250" s="31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50">
        <v>0</v>
      </c>
      <c r="N250" s="23"/>
    </row>
    <row r="251" spans="1:15" ht="19.5" customHeight="1" x14ac:dyDescent="0.25">
      <c r="A251" s="80" t="s">
        <v>56</v>
      </c>
      <c r="B251" s="80"/>
      <c r="C251" s="80"/>
      <c r="D251" s="8" t="s">
        <v>2</v>
      </c>
      <c r="E251" s="52">
        <f>E252+E253+E254+E255+E257</f>
        <v>17106.855309999999</v>
      </c>
      <c r="F251" s="42">
        <f t="shared" ref="F251:K251" si="142">F253+F254+F255+F257</f>
        <v>6958.1309999999994</v>
      </c>
      <c r="G251" s="45">
        <f t="shared" si="142"/>
        <v>7222.5199300000004</v>
      </c>
      <c r="H251" s="45">
        <f>H252+H253+H254+H255+H257</f>
        <v>0</v>
      </c>
      <c r="I251" s="45">
        <f>I252+I253+I254+I255+I257</f>
        <v>1463.1021899999998</v>
      </c>
      <c r="J251" s="45">
        <f t="shared" si="142"/>
        <v>1006.60752</v>
      </c>
      <c r="K251" s="45">
        <f t="shared" si="142"/>
        <v>0</v>
      </c>
      <c r="L251" s="45">
        <v>0</v>
      </c>
      <c r="O251" s="21"/>
    </row>
    <row r="252" spans="1:15" ht="24.75" customHeight="1" x14ac:dyDescent="0.25">
      <c r="A252" s="80"/>
      <c r="B252" s="80"/>
      <c r="C252" s="80"/>
      <c r="D252" s="9" t="s">
        <v>14</v>
      </c>
      <c r="E252" s="46">
        <f>F252+G252+H252+I252+J252+K252+L252</f>
        <v>912.98933999999997</v>
      </c>
      <c r="F252" s="31">
        <v>0</v>
      </c>
      <c r="G252" s="46">
        <v>0</v>
      </c>
      <c r="H252" s="46">
        <v>0</v>
      </c>
      <c r="I252" s="46">
        <v>456.49466999999999</v>
      </c>
      <c r="J252" s="46">
        <v>456.49466999999999</v>
      </c>
      <c r="K252" s="46">
        <v>0</v>
      </c>
      <c r="L252" s="46">
        <v>0</v>
      </c>
    </row>
    <row r="253" spans="1:15" ht="21" customHeight="1" x14ac:dyDescent="0.25">
      <c r="A253" s="80"/>
      <c r="B253" s="80"/>
      <c r="C253" s="80"/>
      <c r="D253" s="9" t="s">
        <v>5</v>
      </c>
      <c r="E253" s="46">
        <f>F253+G253+H253+I253+J253+K253+L253</f>
        <v>2227.9741599999998</v>
      </c>
      <c r="F253" s="31">
        <v>0</v>
      </c>
      <c r="G253" s="46">
        <v>800</v>
      </c>
      <c r="H253" s="46">
        <v>0</v>
      </c>
      <c r="I253" s="46">
        <v>713.98707999999999</v>
      </c>
      <c r="J253" s="46">
        <v>713.98707999999999</v>
      </c>
      <c r="K253" s="46">
        <v>0</v>
      </c>
      <c r="L253" s="46">
        <v>0</v>
      </c>
      <c r="M253" s="3">
        <v>0</v>
      </c>
    </row>
    <row r="254" spans="1:15" ht="19.5" customHeight="1" x14ac:dyDescent="0.25">
      <c r="A254" s="80"/>
      <c r="B254" s="80"/>
      <c r="C254" s="80"/>
      <c r="D254" s="9" t="s">
        <v>6</v>
      </c>
      <c r="E254" s="46">
        <f t="shared" ref="E254:E257" si="143">F254+G254+H254+I254+J254+K254+L254</f>
        <v>13965.891810000001</v>
      </c>
      <c r="F254" s="31">
        <f>4818.731+2139.4</f>
        <v>6958.1309999999994</v>
      </c>
      <c r="G254" s="46">
        <f>5218.75+1203.76993</f>
        <v>6422.5199300000004</v>
      </c>
      <c r="H254" s="46">
        <v>0</v>
      </c>
      <c r="I254" s="46">
        <v>292.62043999999997</v>
      </c>
      <c r="J254" s="46">
        <v>292.62043999999997</v>
      </c>
      <c r="K254" s="46">
        <f t="shared" ref="J254:L255" si="144">K104+K111</f>
        <v>0</v>
      </c>
      <c r="L254" s="46">
        <f t="shared" si="144"/>
        <v>0</v>
      </c>
      <c r="O254" s="23"/>
    </row>
    <row r="255" spans="1:15" ht="24.75" customHeight="1" x14ac:dyDescent="0.25">
      <c r="A255" s="80"/>
      <c r="B255" s="80"/>
      <c r="C255" s="80"/>
      <c r="D255" s="9" t="s">
        <v>13</v>
      </c>
      <c r="E255" s="46">
        <f t="shared" si="143"/>
        <v>0</v>
      </c>
      <c r="F255" s="31">
        <f>F105+F112</f>
        <v>0</v>
      </c>
      <c r="G255" s="46">
        <v>0</v>
      </c>
      <c r="H255" s="46">
        <f>H105+H112</f>
        <v>0</v>
      </c>
      <c r="I255" s="46">
        <f>I105+I112</f>
        <v>0</v>
      </c>
      <c r="J255" s="46">
        <f t="shared" si="144"/>
        <v>0</v>
      </c>
      <c r="K255" s="46">
        <f t="shared" si="144"/>
        <v>0</v>
      </c>
      <c r="L255" s="46">
        <f t="shared" si="144"/>
        <v>0</v>
      </c>
      <c r="O255" s="24"/>
    </row>
    <row r="256" spans="1:15" ht="21" customHeight="1" x14ac:dyDescent="0.25">
      <c r="A256" s="80"/>
      <c r="B256" s="80"/>
      <c r="C256" s="80"/>
      <c r="D256" s="9" t="s">
        <v>30</v>
      </c>
      <c r="E256" s="46">
        <f>F256+G256+H256+I256+J256+K256+L256</f>
        <v>3365.5481599999998</v>
      </c>
      <c r="F256" s="31">
        <f>240.55+406.296</f>
        <v>646.846</v>
      </c>
      <c r="G256" s="46">
        <f>240+786.63635+8.08081</f>
        <v>1034.7171599999999</v>
      </c>
      <c r="H256" s="46">
        <f>697.985+300</f>
        <v>997.98500000000001</v>
      </c>
      <c r="I256" s="46">
        <v>686</v>
      </c>
      <c r="J256" s="46">
        <v>0</v>
      </c>
      <c r="K256" s="46">
        <v>0</v>
      </c>
      <c r="L256" s="46">
        <v>0</v>
      </c>
      <c r="O256" s="25"/>
    </row>
    <row r="257" spans="1:15" ht="17.25" customHeight="1" x14ac:dyDescent="0.25">
      <c r="A257" s="80"/>
      <c r="B257" s="80"/>
      <c r="C257" s="80"/>
      <c r="D257" s="9" t="s">
        <v>15</v>
      </c>
      <c r="E257" s="46">
        <f t="shared" si="143"/>
        <v>0</v>
      </c>
      <c r="F257" s="31">
        <v>0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50">
        <v>0</v>
      </c>
      <c r="O257" s="21"/>
    </row>
    <row r="258" spans="1:15" ht="21" customHeight="1" x14ac:dyDescent="0.25">
      <c r="A258" s="80" t="s">
        <v>57</v>
      </c>
      <c r="B258" s="80"/>
      <c r="C258" s="80"/>
      <c r="D258" s="8" t="s">
        <v>2</v>
      </c>
      <c r="E258" s="52">
        <f>E259+E260+E261+E262+E264</f>
        <v>4772.9252199999992</v>
      </c>
      <c r="F258" s="42">
        <f t="shared" ref="F258:K258" si="145">F260+F261+F262+F264</f>
        <v>1628.8</v>
      </c>
      <c r="G258" s="45">
        <f t="shared" si="145"/>
        <v>916.42298000000005</v>
      </c>
      <c r="H258" s="45">
        <f>H259+H260+H261+H262+H264</f>
        <v>0</v>
      </c>
      <c r="I258" s="45">
        <f>I259+I260+I261+I262+I264</f>
        <v>1113.8511199999998</v>
      </c>
      <c r="J258" s="45">
        <f t="shared" si="145"/>
        <v>766.32439999999997</v>
      </c>
      <c r="K258" s="45">
        <f t="shared" si="145"/>
        <v>0</v>
      </c>
      <c r="L258" s="45">
        <v>0</v>
      </c>
      <c r="O258" s="23"/>
    </row>
    <row r="259" spans="1:15" ht="21" customHeight="1" x14ac:dyDescent="0.25">
      <c r="A259" s="80"/>
      <c r="B259" s="80"/>
      <c r="C259" s="80"/>
      <c r="D259" s="9" t="s">
        <v>14</v>
      </c>
      <c r="E259" s="46">
        <f>F259+G259+H259+I259+J259+K259+L259</f>
        <v>695.05344000000002</v>
      </c>
      <c r="F259" s="31">
        <v>0</v>
      </c>
      <c r="G259" s="46">
        <v>0</v>
      </c>
      <c r="H259" s="46">
        <v>0</v>
      </c>
      <c r="I259" s="46">
        <v>347.52672000000001</v>
      </c>
      <c r="J259" s="46">
        <v>347.52672000000001</v>
      </c>
      <c r="K259" s="46">
        <v>0</v>
      </c>
      <c r="L259" s="46">
        <v>0</v>
      </c>
    </row>
    <row r="260" spans="1:15" ht="24.75" customHeight="1" x14ac:dyDescent="0.25">
      <c r="A260" s="80"/>
      <c r="B260" s="80"/>
      <c r="C260" s="80"/>
      <c r="D260" s="9" t="s">
        <v>5</v>
      </c>
      <c r="E260" s="46">
        <f>F260+G260+H260+I260+J260+K260+L260</f>
        <v>1087.1083599999999</v>
      </c>
      <c r="F260" s="31">
        <v>0</v>
      </c>
      <c r="G260" s="46">
        <v>0</v>
      </c>
      <c r="H260" s="46">
        <v>0</v>
      </c>
      <c r="I260" s="46">
        <v>543.55417999999997</v>
      </c>
      <c r="J260" s="46">
        <v>543.55417999999997</v>
      </c>
      <c r="K260" s="46">
        <v>0</v>
      </c>
      <c r="L260" s="46">
        <v>0</v>
      </c>
    </row>
    <row r="261" spans="1:15" ht="17.25" customHeight="1" x14ac:dyDescent="0.25">
      <c r="A261" s="80"/>
      <c r="B261" s="80"/>
      <c r="C261" s="80"/>
      <c r="D261" s="9" t="s">
        <v>6</v>
      </c>
      <c r="E261" s="46">
        <f>F261+G261+H261+I261+J261+K261+L261</f>
        <v>2990.7634199999998</v>
      </c>
      <c r="F261" s="31">
        <f>1628.8</f>
        <v>1628.8</v>
      </c>
      <c r="G261" s="46">
        <v>916.42298000000005</v>
      </c>
      <c r="H261" s="46">
        <v>0</v>
      </c>
      <c r="I261" s="46">
        <v>222.77021999999999</v>
      </c>
      <c r="J261" s="46">
        <v>222.77021999999999</v>
      </c>
      <c r="K261" s="46">
        <f t="shared" ref="J261:L262" si="146">K111+K125</f>
        <v>0</v>
      </c>
      <c r="L261" s="46">
        <f t="shared" si="146"/>
        <v>0</v>
      </c>
    </row>
    <row r="262" spans="1:15" ht="24.75" customHeight="1" x14ac:dyDescent="0.25">
      <c r="A262" s="80"/>
      <c r="B262" s="80"/>
      <c r="C262" s="80"/>
      <c r="D262" s="9" t="s">
        <v>13</v>
      </c>
      <c r="E262" s="46">
        <f t="shared" ref="E262:E264" si="147">F262+G262+H262+I262+J262+K262+L262</f>
        <v>0</v>
      </c>
      <c r="F262" s="31">
        <f>F112+F126</f>
        <v>0</v>
      </c>
      <c r="G262" s="46">
        <v>0</v>
      </c>
      <c r="H262" s="46">
        <f>H112+H126</f>
        <v>0</v>
      </c>
      <c r="I262" s="46">
        <f>I112+I126</f>
        <v>0</v>
      </c>
      <c r="J262" s="46">
        <f t="shared" si="146"/>
        <v>0</v>
      </c>
      <c r="K262" s="46">
        <f t="shared" si="146"/>
        <v>0</v>
      </c>
      <c r="L262" s="46">
        <f t="shared" si="146"/>
        <v>0</v>
      </c>
    </row>
    <row r="263" spans="1:15" ht="21" customHeight="1" x14ac:dyDescent="0.25">
      <c r="A263" s="80"/>
      <c r="B263" s="80"/>
      <c r="C263" s="80"/>
      <c r="D263" s="9" t="s">
        <v>30</v>
      </c>
      <c r="E263" s="46">
        <f>F263+G263+H263+I263+J263+K263+L263</f>
        <v>1256.2980000000002</v>
      </c>
      <c r="F263" s="31">
        <v>902.43799999999999</v>
      </c>
      <c r="G263" s="46">
        <v>175</v>
      </c>
      <c r="H263" s="46">
        <f>178.86</f>
        <v>178.86</v>
      </c>
      <c r="I263" s="46">
        <v>0</v>
      </c>
      <c r="J263" s="46">
        <v>0</v>
      </c>
      <c r="K263" s="46">
        <v>0</v>
      </c>
      <c r="L263" s="46">
        <v>0</v>
      </c>
    </row>
    <row r="264" spans="1:15" ht="21" customHeight="1" x14ac:dyDescent="0.25">
      <c r="A264" s="80"/>
      <c r="B264" s="80"/>
      <c r="C264" s="80"/>
      <c r="D264" s="9" t="s">
        <v>15</v>
      </c>
      <c r="E264" s="46">
        <f t="shared" si="147"/>
        <v>0</v>
      </c>
      <c r="F264" s="31">
        <v>0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50">
        <v>0</v>
      </c>
    </row>
    <row r="265" spans="1:15" ht="21" customHeight="1" x14ac:dyDescent="0.25">
      <c r="A265" s="80" t="s">
        <v>58</v>
      </c>
      <c r="B265" s="80"/>
      <c r="C265" s="80"/>
      <c r="D265" s="8" t="s">
        <v>2</v>
      </c>
      <c r="E265" s="52">
        <f>E266+E267+E268+E269+E271</f>
        <v>10492.32344</v>
      </c>
      <c r="F265" s="42">
        <f t="shared" ref="F265:K265" si="148">F267+F268+F269+F271</f>
        <v>396.3</v>
      </c>
      <c r="G265" s="45">
        <f t="shared" si="148"/>
        <v>222.98227</v>
      </c>
      <c r="H265" s="45">
        <f>H266+H267+H268+H269+H271</f>
        <v>9331.000970000001</v>
      </c>
      <c r="I265" s="45">
        <f>I266+I267+I268+I269+I271</f>
        <v>271.02010000000001</v>
      </c>
      <c r="J265" s="45">
        <f t="shared" si="148"/>
        <v>186.46057000000002</v>
      </c>
      <c r="K265" s="45">
        <f t="shared" si="148"/>
        <v>0</v>
      </c>
      <c r="L265" s="45">
        <v>0</v>
      </c>
    </row>
    <row r="266" spans="1:15" ht="22.5" customHeight="1" x14ac:dyDescent="0.25">
      <c r="A266" s="80"/>
      <c r="B266" s="80"/>
      <c r="C266" s="80"/>
      <c r="D266" s="9" t="s">
        <v>14</v>
      </c>
      <c r="E266" s="49">
        <f>F266+G266+H266+I266+J266+K266+L266</f>
        <v>2552.61906</v>
      </c>
      <c r="F266" s="31">
        <f t="shared" ref="F266:L266" si="149">F123+F130</f>
        <v>0</v>
      </c>
      <c r="G266" s="46">
        <v>0</v>
      </c>
      <c r="H266" s="46">
        <v>2383.5</v>
      </c>
      <c r="I266" s="46">
        <v>84.559529999999995</v>
      </c>
      <c r="J266" s="46">
        <v>84.559529999999995</v>
      </c>
      <c r="K266" s="46">
        <f t="shared" si="149"/>
        <v>0</v>
      </c>
      <c r="L266" s="46">
        <f t="shared" si="149"/>
        <v>0</v>
      </c>
    </row>
    <row r="267" spans="1:15" ht="24.75" customHeight="1" x14ac:dyDescent="0.25">
      <c r="A267" s="80"/>
      <c r="B267" s="80"/>
      <c r="C267" s="80"/>
      <c r="D267" s="9" t="s">
        <v>5</v>
      </c>
      <c r="E267" s="49">
        <f>F267+G267+H267+I267+J267+K267+L267</f>
        <v>3992.5131000000001</v>
      </c>
      <c r="F267" s="31">
        <v>0</v>
      </c>
      <c r="G267" s="46">
        <v>0</v>
      </c>
      <c r="H267" s="46">
        <v>3728</v>
      </c>
      <c r="I267" s="46">
        <v>132.25655</v>
      </c>
      <c r="J267" s="46">
        <v>132.25655</v>
      </c>
      <c r="K267" s="46">
        <f t="shared" ref="I267:L270" si="150">K124+K131</f>
        <v>0</v>
      </c>
      <c r="L267" s="46">
        <f t="shared" si="150"/>
        <v>0</v>
      </c>
    </row>
    <row r="268" spans="1:15" ht="19.5" customHeight="1" x14ac:dyDescent="0.25">
      <c r="A268" s="80"/>
      <c r="B268" s="80"/>
      <c r="C268" s="80"/>
      <c r="D268" s="9" t="s">
        <v>6</v>
      </c>
      <c r="E268" s="49">
        <f>F268+G268+H268+I268+J268+K268+L268</f>
        <v>3947.1912800000005</v>
      </c>
      <c r="F268" s="31">
        <v>396.3</v>
      </c>
      <c r="G268" s="46">
        <v>222.98227</v>
      </c>
      <c r="H268" s="46">
        <v>3219.5009700000001</v>
      </c>
      <c r="I268" s="46">
        <v>54.20402</v>
      </c>
      <c r="J268" s="46">
        <v>54.20402</v>
      </c>
      <c r="K268" s="46">
        <f t="shared" si="150"/>
        <v>0</v>
      </c>
      <c r="L268" s="46">
        <f t="shared" si="150"/>
        <v>0</v>
      </c>
    </row>
    <row r="269" spans="1:15" ht="22.5" customHeight="1" x14ac:dyDescent="0.25">
      <c r="A269" s="80"/>
      <c r="B269" s="80"/>
      <c r="C269" s="80"/>
      <c r="D269" s="9" t="s">
        <v>13</v>
      </c>
      <c r="E269" s="49">
        <f t="shared" ref="E269:E271" si="151">F269+G269+H269+I269+J269+K269+L269</f>
        <v>0</v>
      </c>
      <c r="F269" s="31">
        <f>F126+F133</f>
        <v>0</v>
      </c>
      <c r="G269" s="46">
        <v>0</v>
      </c>
      <c r="H269" s="46">
        <f>H126+H133</f>
        <v>0</v>
      </c>
      <c r="I269" s="46">
        <f t="shared" si="150"/>
        <v>0</v>
      </c>
      <c r="J269" s="46">
        <f t="shared" si="150"/>
        <v>0</v>
      </c>
      <c r="K269" s="46">
        <f t="shared" si="150"/>
        <v>0</v>
      </c>
      <c r="L269" s="46">
        <f t="shared" si="150"/>
        <v>0</v>
      </c>
    </row>
    <row r="270" spans="1:15" ht="17.25" customHeight="1" x14ac:dyDescent="0.25">
      <c r="A270" s="80"/>
      <c r="B270" s="80"/>
      <c r="C270" s="80"/>
      <c r="D270" s="9" t="s">
        <v>30</v>
      </c>
      <c r="E270" s="49">
        <f>F270+G270+H270+I270+J270+K270+L270</f>
        <v>1162.922</v>
      </c>
      <c r="F270" s="31">
        <v>286.23</v>
      </c>
      <c r="G270" s="46">
        <v>240.02600000000001</v>
      </c>
      <c r="H270" s="46">
        <f>324.7+311.966</f>
        <v>636.66599999999994</v>
      </c>
      <c r="I270" s="46">
        <f t="shared" si="150"/>
        <v>0</v>
      </c>
      <c r="J270" s="46">
        <f t="shared" si="150"/>
        <v>0</v>
      </c>
      <c r="K270" s="46">
        <f t="shared" si="150"/>
        <v>0</v>
      </c>
      <c r="L270" s="46">
        <f t="shared" si="150"/>
        <v>0</v>
      </c>
    </row>
    <row r="271" spans="1:15" ht="19.5" customHeight="1" x14ac:dyDescent="0.25">
      <c r="A271" s="80"/>
      <c r="B271" s="80"/>
      <c r="C271" s="80"/>
      <c r="D271" s="9" t="s">
        <v>15</v>
      </c>
      <c r="E271" s="49">
        <f t="shared" si="151"/>
        <v>0</v>
      </c>
      <c r="F271" s="31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</v>
      </c>
      <c r="L271" s="50">
        <v>0</v>
      </c>
    </row>
    <row r="272" spans="1:15" ht="17.25" customHeight="1" x14ac:dyDescent="0.25">
      <c r="A272" s="80" t="s">
        <v>59</v>
      </c>
      <c r="B272" s="80"/>
      <c r="C272" s="80"/>
      <c r="D272" s="8" t="s">
        <v>2</v>
      </c>
      <c r="E272" s="52">
        <f>E273+E274+E275+E276+E278</f>
        <v>3236.2361700000001</v>
      </c>
      <c r="F272" s="42">
        <f t="shared" ref="F272:K272" si="152">F274+F275+F276+F278</f>
        <v>1002</v>
      </c>
      <c r="G272" s="45">
        <f t="shared" si="152"/>
        <v>863.77476999999999</v>
      </c>
      <c r="H272" s="45">
        <f>H273+H274+H275+H276+H278</f>
        <v>0</v>
      </c>
      <c r="I272" s="45">
        <f>I273+I274+I275+I276+I278</f>
        <v>685.23070000000007</v>
      </c>
      <c r="J272" s="45">
        <f t="shared" si="152"/>
        <v>471.43554000000006</v>
      </c>
      <c r="K272" s="45">
        <f t="shared" si="152"/>
        <v>0</v>
      </c>
      <c r="L272" s="45">
        <v>0</v>
      </c>
    </row>
    <row r="273" spans="1:12" ht="24.75" customHeight="1" x14ac:dyDescent="0.25">
      <c r="A273" s="80"/>
      <c r="B273" s="80"/>
      <c r="C273" s="80"/>
      <c r="D273" s="9" t="s">
        <v>14</v>
      </c>
      <c r="E273" s="46">
        <f>F273+G273+H273+I273+J273+K273+L273</f>
        <v>427.59032000000002</v>
      </c>
      <c r="F273" s="31">
        <v>0</v>
      </c>
      <c r="G273" s="46">
        <v>0</v>
      </c>
      <c r="H273" s="46">
        <v>0</v>
      </c>
      <c r="I273" s="46">
        <v>213.79516000000001</v>
      </c>
      <c r="J273" s="46">
        <v>213.79516000000001</v>
      </c>
      <c r="K273" s="46">
        <v>0</v>
      </c>
      <c r="L273" s="46">
        <v>0</v>
      </c>
    </row>
    <row r="274" spans="1:12" ht="19.5" customHeight="1" x14ac:dyDescent="0.25">
      <c r="A274" s="80"/>
      <c r="B274" s="80"/>
      <c r="C274" s="80"/>
      <c r="D274" s="9" t="s">
        <v>5</v>
      </c>
      <c r="E274" s="46">
        <f>F274+G274+H274+I274+J274+K274+L274</f>
        <v>968.77880000000005</v>
      </c>
      <c r="F274" s="31">
        <v>0</v>
      </c>
      <c r="G274" s="46">
        <v>300</v>
      </c>
      <c r="H274" s="46">
        <v>0</v>
      </c>
      <c r="I274" s="46">
        <v>334.38940000000002</v>
      </c>
      <c r="J274" s="46">
        <v>334.38940000000002</v>
      </c>
      <c r="K274" s="46">
        <f t="shared" ref="K274:L274" si="153">K103</f>
        <v>0</v>
      </c>
      <c r="L274" s="46">
        <f t="shared" si="153"/>
        <v>0</v>
      </c>
    </row>
    <row r="275" spans="1:12" ht="24.75" customHeight="1" x14ac:dyDescent="0.25">
      <c r="A275" s="80"/>
      <c r="B275" s="80"/>
      <c r="C275" s="80"/>
      <c r="D275" s="9" t="s">
        <v>6</v>
      </c>
      <c r="E275" s="46">
        <f>F275+G275+H275+I275+J275+K275+L275</f>
        <v>1839.8670499999998</v>
      </c>
      <c r="F275" s="31">
        <v>1002</v>
      </c>
      <c r="G275" s="46">
        <v>563.77476999999999</v>
      </c>
      <c r="H275" s="46">
        <v>0</v>
      </c>
      <c r="I275" s="46">
        <v>137.04614000000001</v>
      </c>
      <c r="J275" s="46">
        <v>137.04614000000001</v>
      </c>
      <c r="K275" s="46">
        <f t="shared" ref="K275:L275" si="154">K104</f>
        <v>0</v>
      </c>
      <c r="L275" s="46">
        <f t="shared" si="154"/>
        <v>0</v>
      </c>
    </row>
    <row r="276" spans="1:12" ht="18.75" customHeight="1" x14ac:dyDescent="0.25">
      <c r="A276" s="80"/>
      <c r="B276" s="80"/>
      <c r="C276" s="80"/>
      <c r="D276" s="9" t="s">
        <v>13</v>
      </c>
      <c r="E276" s="46">
        <f t="shared" ref="E276:E278" si="155">F276+G276+H276+I276+J276+K276+L276</f>
        <v>0</v>
      </c>
      <c r="F276" s="31">
        <f>F105</f>
        <v>0</v>
      </c>
      <c r="G276" s="46">
        <v>0</v>
      </c>
      <c r="H276" s="46">
        <f t="shared" ref="H276:L276" si="156">H105</f>
        <v>0</v>
      </c>
      <c r="I276" s="46">
        <f t="shared" si="156"/>
        <v>0</v>
      </c>
      <c r="J276" s="46">
        <f t="shared" si="156"/>
        <v>0</v>
      </c>
      <c r="K276" s="46">
        <f t="shared" si="156"/>
        <v>0</v>
      </c>
      <c r="L276" s="46">
        <f t="shared" si="156"/>
        <v>0</v>
      </c>
    </row>
    <row r="277" spans="1:12" ht="17.25" customHeight="1" x14ac:dyDescent="0.25">
      <c r="A277" s="80"/>
      <c r="B277" s="80"/>
      <c r="C277" s="80"/>
      <c r="D277" s="9" t="s">
        <v>30</v>
      </c>
      <c r="E277" s="46">
        <f>F277+G277+H277+I277+J277+K277+L277</f>
        <v>2036.8717999999999</v>
      </c>
      <c r="F277" s="31">
        <f>1436-683.94833</f>
        <v>752.05166999999994</v>
      </c>
      <c r="G277" s="46">
        <f>230.45376+3.0303</f>
        <v>233.48406</v>
      </c>
      <c r="H277" s="46">
        <f>177.77777+109.6783</f>
        <v>287.45607000000001</v>
      </c>
      <c r="I277" s="46">
        <v>0</v>
      </c>
      <c r="J277" s="46">
        <v>0</v>
      </c>
      <c r="K277" s="46">
        <v>763.88</v>
      </c>
      <c r="L277" s="46">
        <v>0</v>
      </c>
    </row>
    <row r="278" spans="1:12" ht="19.5" customHeight="1" x14ac:dyDescent="0.25">
      <c r="A278" s="80"/>
      <c r="B278" s="80"/>
      <c r="C278" s="80"/>
      <c r="D278" s="9" t="s">
        <v>15</v>
      </c>
      <c r="E278" s="46">
        <f t="shared" si="155"/>
        <v>0</v>
      </c>
      <c r="F278" s="31">
        <v>0</v>
      </c>
      <c r="G278" s="46">
        <v>0</v>
      </c>
      <c r="H278" s="46">
        <v>0</v>
      </c>
      <c r="I278" s="46">
        <v>0</v>
      </c>
      <c r="J278" s="46">
        <v>0</v>
      </c>
      <c r="K278" s="46">
        <v>0</v>
      </c>
      <c r="L278" s="50">
        <v>0</v>
      </c>
    </row>
    <row r="279" spans="1:12" ht="24.75" customHeight="1" x14ac:dyDescent="0.25">
      <c r="A279" s="80" t="s">
        <v>65</v>
      </c>
      <c r="B279" s="80"/>
      <c r="C279" s="80"/>
      <c r="D279" s="8" t="s">
        <v>2</v>
      </c>
      <c r="E279" s="52">
        <f>E280+E281+E282+E283+E285</f>
        <v>16319.96513</v>
      </c>
      <c r="F279" s="42">
        <f t="shared" ref="F279:K279" si="157">F281+F282+F283+F285</f>
        <v>14877.833480000001</v>
      </c>
      <c r="G279" s="45">
        <f t="shared" si="157"/>
        <v>182.95738</v>
      </c>
      <c r="H279" s="45">
        <f>H280+H281+H282</f>
        <v>0</v>
      </c>
      <c r="I279" s="45">
        <f>I280+I281+I282</f>
        <v>222.37251000000001</v>
      </c>
      <c r="J279" s="45">
        <f t="shared" si="157"/>
        <v>152.99125000000001</v>
      </c>
      <c r="K279" s="45">
        <f t="shared" si="157"/>
        <v>0</v>
      </c>
      <c r="L279" s="45">
        <v>0</v>
      </c>
    </row>
    <row r="280" spans="1:12" ht="24.75" customHeight="1" x14ac:dyDescent="0.25">
      <c r="A280" s="80"/>
      <c r="B280" s="80"/>
      <c r="C280" s="80"/>
      <c r="D280" s="9" t="s">
        <v>14</v>
      </c>
      <c r="E280" s="46">
        <f>F280+G280+H280+I280+J280+K280+L280</f>
        <v>953.19177000000002</v>
      </c>
      <c r="F280" s="31">
        <f>814.42925</f>
        <v>814.42925000000002</v>
      </c>
      <c r="G280" s="46">
        <v>0</v>
      </c>
      <c r="H280" s="46">
        <v>0</v>
      </c>
      <c r="I280" s="46">
        <v>69.381259999999997</v>
      </c>
      <c r="J280" s="46">
        <v>69.381259999999997</v>
      </c>
      <c r="K280" s="46">
        <v>0</v>
      </c>
      <c r="L280" s="46">
        <v>0</v>
      </c>
    </row>
    <row r="281" spans="1:12" ht="24.75" customHeight="1" x14ac:dyDescent="0.25">
      <c r="A281" s="80"/>
      <c r="B281" s="80"/>
      <c r="C281" s="80"/>
      <c r="D281" s="9" t="s">
        <v>5</v>
      </c>
      <c r="E281" s="46">
        <f>F281+G281+H281+I281+J281+K281+L281</f>
        <v>1490.88438</v>
      </c>
      <c r="F281" s="31">
        <v>1273.85088</v>
      </c>
      <c r="G281" s="46">
        <v>0</v>
      </c>
      <c r="H281" s="46">
        <v>0</v>
      </c>
      <c r="I281" s="46">
        <v>108.51675</v>
      </c>
      <c r="J281" s="46">
        <v>108.51675</v>
      </c>
      <c r="K281" s="46">
        <v>0</v>
      </c>
      <c r="L281" s="46">
        <v>0</v>
      </c>
    </row>
    <row r="282" spans="1:12" ht="24.75" customHeight="1" x14ac:dyDescent="0.25">
      <c r="A282" s="80"/>
      <c r="B282" s="80"/>
      <c r="C282" s="80"/>
      <c r="D282" s="9" t="s">
        <v>6</v>
      </c>
      <c r="E282" s="46">
        <f>F282+G282+H282+I282+J282+K282+L282</f>
        <v>13875.888980000002</v>
      </c>
      <c r="F282" s="31">
        <f>12889.64983+522.07004+325.2-132.93727</f>
        <v>13603.982600000001</v>
      </c>
      <c r="G282" s="46">
        <v>182.95738</v>
      </c>
      <c r="H282" s="46">
        <v>0</v>
      </c>
      <c r="I282" s="46">
        <v>44.474499999999999</v>
      </c>
      <c r="J282" s="46">
        <v>44.474499999999999</v>
      </c>
      <c r="K282" s="46">
        <f t="shared" ref="J282:L283" si="158">K104+K111</f>
        <v>0</v>
      </c>
      <c r="L282" s="46">
        <f t="shared" si="158"/>
        <v>0</v>
      </c>
    </row>
    <row r="283" spans="1:12" ht="24.75" customHeight="1" x14ac:dyDescent="0.25">
      <c r="A283" s="80"/>
      <c r="B283" s="80"/>
      <c r="C283" s="80"/>
      <c r="D283" s="9" t="s">
        <v>13</v>
      </c>
      <c r="E283" s="46">
        <f t="shared" ref="E283:E285" si="159">F283+G283+H283+I283+J283+K283+L283</f>
        <v>0</v>
      </c>
      <c r="F283" s="31">
        <f>F105+F112</f>
        <v>0</v>
      </c>
      <c r="G283" s="46">
        <v>0</v>
      </c>
      <c r="H283" s="46">
        <f>H105+H112</f>
        <v>0</v>
      </c>
      <c r="I283" s="46">
        <f>I105+I112</f>
        <v>0</v>
      </c>
      <c r="J283" s="46">
        <f t="shared" si="158"/>
        <v>0</v>
      </c>
      <c r="K283" s="46">
        <f t="shared" si="158"/>
        <v>0</v>
      </c>
      <c r="L283" s="46">
        <f t="shared" si="158"/>
        <v>0</v>
      </c>
    </row>
    <row r="284" spans="1:12" ht="19.5" customHeight="1" x14ac:dyDescent="0.25">
      <c r="A284" s="80"/>
      <c r="B284" s="80"/>
      <c r="C284" s="80"/>
      <c r="D284" s="9" t="s">
        <v>30</v>
      </c>
      <c r="E284" s="46">
        <f>F284+G284+H284+I284+J284+K284+L284</f>
        <v>660</v>
      </c>
      <c r="F284" s="31">
        <v>400</v>
      </c>
      <c r="G284" s="46">
        <v>135</v>
      </c>
      <c r="H284" s="46">
        <v>125</v>
      </c>
      <c r="I284" s="46">
        <v>0</v>
      </c>
      <c r="J284" s="46">
        <v>0</v>
      </c>
      <c r="K284" s="46">
        <v>0</v>
      </c>
      <c r="L284" s="46">
        <v>0</v>
      </c>
    </row>
    <row r="285" spans="1:12" ht="17.25" customHeight="1" x14ac:dyDescent="0.25">
      <c r="A285" s="80"/>
      <c r="B285" s="80"/>
      <c r="C285" s="80"/>
      <c r="D285" s="9" t="s">
        <v>15</v>
      </c>
      <c r="E285" s="46">
        <f t="shared" si="159"/>
        <v>0</v>
      </c>
      <c r="F285" s="31">
        <v>0</v>
      </c>
      <c r="G285" s="46">
        <v>0</v>
      </c>
      <c r="H285" s="46">
        <v>0</v>
      </c>
      <c r="I285" s="46">
        <v>0</v>
      </c>
      <c r="J285" s="46">
        <v>0</v>
      </c>
      <c r="K285" s="46">
        <v>0</v>
      </c>
      <c r="L285" s="50">
        <v>0</v>
      </c>
    </row>
    <row r="286" spans="1:12" ht="24.75" customHeight="1" x14ac:dyDescent="0.25">
      <c r="A286" s="107" t="s">
        <v>66</v>
      </c>
      <c r="B286" s="108"/>
      <c r="C286" s="109"/>
      <c r="D286" s="8" t="s">
        <v>2</v>
      </c>
      <c r="E286" s="45">
        <f>E287+E288+E289+E290+E292</f>
        <v>524.60895000000005</v>
      </c>
      <c r="F286" s="42">
        <f>F287+F288+F289+F290+F292</f>
        <v>335.7</v>
      </c>
      <c r="G286" s="45">
        <f>G287+G288+G289+G290+G292</f>
        <v>188.90895</v>
      </c>
      <c r="H286" s="45">
        <f>H287+H288+H289+H290+H292</f>
        <v>0</v>
      </c>
      <c r="I286" s="45">
        <f t="shared" ref="I286:L286" si="160">I287+I288+I289+I290+I292</f>
        <v>0</v>
      </c>
      <c r="J286" s="45">
        <f t="shared" si="160"/>
        <v>0</v>
      </c>
      <c r="K286" s="45">
        <f t="shared" si="160"/>
        <v>0</v>
      </c>
      <c r="L286" s="45">
        <f t="shared" si="160"/>
        <v>0</v>
      </c>
    </row>
    <row r="287" spans="1:12" s="6" customFormat="1" x14ac:dyDescent="0.25">
      <c r="A287" s="110"/>
      <c r="B287" s="111"/>
      <c r="C287" s="112"/>
      <c r="D287" s="9" t="s">
        <v>14</v>
      </c>
      <c r="E287" s="46">
        <f t="shared" ref="E287:E292" si="161">F287+G287+H287+I287+J287+K287+L287</f>
        <v>0</v>
      </c>
      <c r="F287" s="31">
        <v>0</v>
      </c>
      <c r="G287" s="46">
        <v>0</v>
      </c>
      <c r="H287" s="46">
        <v>0</v>
      </c>
      <c r="I287" s="46">
        <v>0</v>
      </c>
      <c r="J287" s="46">
        <v>0</v>
      </c>
      <c r="K287" s="46">
        <v>0</v>
      </c>
      <c r="L287" s="50">
        <v>0</v>
      </c>
    </row>
    <row r="288" spans="1:12" s="6" customFormat="1" ht="30" x14ac:dyDescent="0.25">
      <c r="A288" s="110"/>
      <c r="B288" s="111"/>
      <c r="C288" s="112"/>
      <c r="D288" s="9" t="s">
        <v>5</v>
      </c>
      <c r="E288" s="46">
        <f t="shared" si="161"/>
        <v>0</v>
      </c>
      <c r="F288" s="31">
        <v>0</v>
      </c>
      <c r="G288" s="46">
        <v>0</v>
      </c>
      <c r="H288" s="46">
        <v>0</v>
      </c>
      <c r="I288" s="46">
        <v>0</v>
      </c>
      <c r="J288" s="46">
        <v>0</v>
      </c>
      <c r="K288" s="46">
        <v>0</v>
      </c>
      <c r="L288" s="50">
        <v>0</v>
      </c>
    </row>
    <row r="289" spans="1:12" s="6" customFormat="1" x14ac:dyDescent="0.25">
      <c r="A289" s="110"/>
      <c r="B289" s="111"/>
      <c r="C289" s="112"/>
      <c r="D289" s="9" t="s">
        <v>6</v>
      </c>
      <c r="E289" s="46">
        <f>F289+G289+H289+I289+J289+K289+L289</f>
        <v>524.60895000000005</v>
      </c>
      <c r="F289" s="31">
        <v>335.7</v>
      </c>
      <c r="G289" s="46">
        <v>188.90895</v>
      </c>
      <c r="H289" s="46">
        <v>0</v>
      </c>
      <c r="I289" s="46">
        <v>0</v>
      </c>
      <c r="J289" s="46">
        <v>0</v>
      </c>
      <c r="K289" s="46">
        <v>0</v>
      </c>
      <c r="L289" s="50">
        <v>0</v>
      </c>
    </row>
    <row r="290" spans="1:12" s="6" customFormat="1" ht="17.25" customHeight="1" x14ac:dyDescent="0.25">
      <c r="A290" s="110"/>
      <c r="B290" s="111"/>
      <c r="C290" s="112"/>
      <c r="D290" s="9" t="s">
        <v>13</v>
      </c>
      <c r="E290" s="46">
        <f t="shared" si="161"/>
        <v>0</v>
      </c>
      <c r="F290" s="31">
        <v>0</v>
      </c>
      <c r="G290" s="46">
        <v>0</v>
      </c>
      <c r="H290" s="46">
        <v>0</v>
      </c>
      <c r="I290" s="46">
        <v>0</v>
      </c>
      <c r="J290" s="46">
        <v>0</v>
      </c>
      <c r="K290" s="46">
        <v>0</v>
      </c>
      <c r="L290" s="50">
        <v>0</v>
      </c>
    </row>
    <row r="291" spans="1:12" s="6" customFormat="1" ht="15" customHeight="1" x14ac:dyDescent="0.25">
      <c r="A291" s="110"/>
      <c r="B291" s="111"/>
      <c r="C291" s="112"/>
      <c r="D291" s="9" t="s">
        <v>30</v>
      </c>
      <c r="E291" s="46">
        <f>F291+G291+H291+I291+J291+K291+L291</f>
        <v>272.52199999999999</v>
      </c>
      <c r="F291" s="31">
        <v>50</v>
      </c>
      <c r="G291" s="46">
        <v>99</v>
      </c>
      <c r="H291" s="46">
        <f>123.522</f>
        <v>123.52200000000001</v>
      </c>
      <c r="I291" s="46">
        <v>0</v>
      </c>
      <c r="J291" s="46">
        <v>0</v>
      </c>
      <c r="K291" s="46">
        <v>0</v>
      </c>
      <c r="L291" s="50">
        <v>0</v>
      </c>
    </row>
    <row r="292" spans="1:12" s="6" customFormat="1" x14ac:dyDescent="0.25">
      <c r="A292" s="113"/>
      <c r="B292" s="114"/>
      <c r="C292" s="115"/>
      <c r="D292" s="9" t="s">
        <v>15</v>
      </c>
      <c r="E292" s="46">
        <f t="shared" si="161"/>
        <v>0</v>
      </c>
      <c r="F292" s="31">
        <v>0</v>
      </c>
      <c r="G292" s="46">
        <v>0</v>
      </c>
      <c r="H292" s="46">
        <v>0</v>
      </c>
      <c r="I292" s="46">
        <v>0</v>
      </c>
      <c r="J292" s="46">
        <v>0</v>
      </c>
      <c r="K292" s="46">
        <v>0</v>
      </c>
      <c r="L292" s="50">
        <v>0</v>
      </c>
    </row>
    <row r="293" spans="1:12" s="6" customFormat="1" x14ac:dyDescent="0.25">
      <c r="A293" s="26"/>
      <c r="B293" s="27"/>
      <c r="C293" s="27"/>
      <c r="D293" s="27"/>
      <c r="E293" s="33"/>
      <c r="F293" s="5"/>
      <c r="G293" s="34"/>
      <c r="H293" s="34"/>
      <c r="I293" s="34"/>
      <c r="J293" s="34"/>
      <c r="K293" s="34"/>
      <c r="L293" s="35"/>
    </row>
    <row r="294" spans="1:12" s="6" customFormat="1" x14ac:dyDescent="0.25">
      <c r="A294" s="26"/>
      <c r="B294" s="27"/>
      <c r="C294" s="27"/>
      <c r="D294" s="27"/>
      <c r="E294" s="33"/>
      <c r="F294" s="5"/>
      <c r="G294" s="34"/>
      <c r="H294" s="34"/>
      <c r="I294" s="34"/>
      <c r="J294" s="34"/>
      <c r="K294" s="34"/>
      <c r="L294" s="35"/>
    </row>
    <row r="295" spans="1:12" s="6" customFormat="1" x14ac:dyDescent="0.25">
      <c r="A295" s="26"/>
      <c r="B295" s="27"/>
      <c r="C295" s="27"/>
      <c r="D295" s="27"/>
      <c r="E295" s="33"/>
      <c r="F295" s="5"/>
      <c r="G295" s="34"/>
      <c r="H295" s="34"/>
      <c r="I295" s="34"/>
      <c r="J295" s="34"/>
      <c r="K295" s="34"/>
      <c r="L295" s="35"/>
    </row>
    <row r="296" spans="1:12" s="6" customFormat="1" x14ac:dyDescent="0.25">
      <c r="A296" s="26"/>
      <c r="B296" s="27"/>
      <c r="C296" s="27"/>
      <c r="D296" s="27"/>
      <c r="E296" s="33"/>
      <c r="F296" s="5"/>
      <c r="G296" s="34"/>
      <c r="H296" s="34"/>
      <c r="I296" s="34"/>
      <c r="J296" s="34"/>
      <c r="K296" s="34"/>
      <c r="L296" s="35"/>
    </row>
    <row r="297" spans="1:12" s="6" customFormat="1" x14ac:dyDescent="0.25">
      <c r="A297" s="26"/>
      <c r="B297" s="27"/>
      <c r="C297" s="27"/>
      <c r="D297" s="27"/>
      <c r="E297" s="33"/>
      <c r="F297" s="5"/>
      <c r="G297" s="34"/>
      <c r="H297" s="34"/>
      <c r="I297" s="34"/>
      <c r="J297" s="34"/>
      <c r="K297" s="34"/>
      <c r="L297" s="35"/>
    </row>
    <row r="298" spans="1:12" s="6" customFormat="1" x14ac:dyDescent="0.25">
      <c r="A298" s="26"/>
      <c r="B298" s="27"/>
      <c r="C298" s="27"/>
      <c r="D298" s="27"/>
      <c r="E298" s="33"/>
      <c r="F298" s="5"/>
      <c r="G298" s="34"/>
      <c r="H298" s="34"/>
      <c r="I298" s="34"/>
      <c r="J298" s="34"/>
      <c r="K298" s="34"/>
      <c r="L298" s="35"/>
    </row>
    <row r="299" spans="1:12" s="6" customFormat="1" x14ac:dyDescent="0.25">
      <c r="A299" s="26"/>
      <c r="B299" s="27"/>
      <c r="C299" s="27"/>
      <c r="D299" s="27"/>
      <c r="E299" s="33"/>
      <c r="F299" s="5"/>
      <c r="G299" s="34"/>
      <c r="H299" s="34"/>
      <c r="I299" s="34"/>
      <c r="J299" s="34"/>
      <c r="K299" s="34"/>
      <c r="L299" s="35"/>
    </row>
    <row r="300" spans="1:12" s="6" customFormat="1" x14ac:dyDescent="0.25">
      <c r="A300" s="26"/>
      <c r="B300" s="27"/>
      <c r="C300" s="27"/>
      <c r="D300" s="27"/>
      <c r="E300" s="33"/>
      <c r="F300" s="5"/>
      <c r="G300" s="34"/>
      <c r="H300" s="34"/>
      <c r="I300" s="34"/>
      <c r="J300" s="34"/>
      <c r="K300" s="34"/>
      <c r="L300" s="35"/>
    </row>
    <row r="301" spans="1:12" s="6" customFormat="1" x14ac:dyDescent="0.25">
      <c r="A301" s="26"/>
      <c r="B301" s="27"/>
      <c r="C301" s="27"/>
      <c r="D301" s="27"/>
      <c r="E301" s="33"/>
      <c r="F301" s="5"/>
      <c r="G301" s="34"/>
      <c r="H301" s="34"/>
      <c r="I301" s="34"/>
      <c r="J301" s="34"/>
      <c r="K301" s="34"/>
      <c r="L301" s="35"/>
    </row>
    <row r="302" spans="1:12" s="6" customFormat="1" x14ac:dyDescent="0.25">
      <c r="A302" s="26"/>
      <c r="B302" s="27"/>
      <c r="C302" s="27"/>
      <c r="D302" s="27"/>
      <c r="E302" s="33"/>
      <c r="F302" s="5"/>
      <c r="G302" s="34"/>
      <c r="H302" s="34"/>
      <c r="I302" s="34"/>
      <c r="J302" s="34"/>
      <c r="K302" s="34"/>
      <c r="L302" s="35"/>
    </row>
    <row r="303" spans="1:12" s="6" customFormat="1" x14ac:dyDescent="0.25">
      <c r="A303" s="26"/>
      <c r="B303" s="27"/>
      <c r="C303" s="27"/>
      <c r="D303" s="27"/>
      <c r="E303" s="33"/>
      <c r="F303" s="5"/>
      <c r="G303" s="34"/>
      <c r="H303" s="34"/>
      <c r="I303" s="34"/>
      <c r="J303" s="34"/>
      <c r="K303" s="34"/>
      <c r="L303" s="35"/>
    </row>
    <row r="304" spans="1:12" s="6" customFormat="1" x14ac:dyDescent="0.25">
      <c r="A304" s="26"/>
      <c r="B304" s="27"/>
      <c r="C304" s="27"/>
      <c r="D304" s="27"/>
      <c r="E304" s="33"/>
      <c r="F304" s="5"/>
      <c r="G304" s="34"/>
      <c r="H304" s="34"/>
      <c r="I304" s="34"/>
      <c r="J304" s="34"/>
      <c r="K304" s="34"/>
      <c r="L304" s="35"/>
    </row>
    <row r="305" spans="1:12" s="6" customFormat="1" x14ac:dyDescent="0.25">
      <c r="A305" s="26"/>
      <c r="B305" s="27"/>
      <c r="C305" s="27"/>
      <c r="D305" s="27"/>
      <c r="E305" s="33"/>
      <c r="F305" s="5"/>
      <c r="G305" s="34"/>
      <c r="H305" s="34"/>
      <c r="I305" s="34"/>
      <c r="J305" s="34"/>
      <c r="K305" s="34"/>
      <c r="L305" s="35"/>
    </row>
    <row r="306" spans="1:12" s="6" customFormat="1" x14ac:dyDescent="0.25">
      <c r="A306" s="26"/>
      <c r="B306" s="27"/>
      <c r="C306" s="27"/>
      <c r="D306" s="27"/>
      <c r="E306" s="33"/>
      <c r="F306" s="5"/>
      <c r="G306" s="34"/>
      <c r="H306" s="34"/>
      <c r="I306" s="34"/>
      <c r="J306" s="34"/>
      <c r="K306" s="34"/>
      <c r="L306" s="35"/>
    </row>
    <row r="307" spans="1:12" s="6" customFormat="1" x14ac:dyDescent="0.25">
      <c r="A307" s="26"/>
      <c r="B307" s="27"/>
      <c r="C307" s="27"/>
      <c r="D307" s="27"/>
      <c r="E307" s="33"/>
      <c r="F307" s="5"/>
      <c r="G307" s="34"/>
      <c r="H307" s="34"/>
      <c r="I307" s="34"/>
      <c r="J307" s="34"/>
      <c r="K307" s="34"/>
      <c r="L307" s="35"/>
    </row>
    <row r="308" spans="1:12" s="6" customFormat="1" x14ac:dyDescent="0.25">
      <c r="A308" s="26"/>
      <c r="B308" s="27"/>
      <c r="C308" s="27"/>
      <c r="D308" s="27"/>
      <c r="E308" s="33"/>
      <c r="F308" s="5"/>
      <c r="G308" s="34"/>
      <c r="H308" s="34"/>
      <c r="I308" s="34"/>
      <c r="J308" s="34"/>
      <c r="K308" s="34"/>
      <c r="L308" s="35"/>
    </row>
    <row r="309" spans="1:12" s="6" customFormat="1" x14ac:dyDescent="0.25">
      <c r="A309" s="26"/>
      <c r="B309" s="27"/>
      <c r="C309" s="27"/>
      <c r="D309" s="27"/>
      <c r="E309" s="33"/>
      <c r="F309" s="5"/>
      <c r="G309" s="34"/>
      <c r="H309" s="34"/>
      <c r="I309" s="34"/>
      <c r="J309" s="34"/>
      <c r="K309" s="34"/>
      <c r="L309" s="35"/>
    </row>
    <row r="310" spans="1:12" s="6" customFormat="1" x14ac:dyDescent="0.25">
      <c r="A310" s="26"/>
      <c r="B310" s="27"/>
      <c r="C310" s="27"/>
      <c r="D310" s="27"/>
      <c r="E310" s="33"/>
      <c r="F310" s="5"/>
      <c r="G310" s="34"/>
      <c r="H310" s="34"/>
      <c r="I310" s="34"/>
      <c r="J310" s="34"/>
      <c r="K310" s="34"/>
      <c r="L310" s="35"/>
    </row>
    <row r="311" spans="1:12" s="6" customFormat="1" x14ac:dyDescent="0.25">
      <c r="A311" s="26"/>
      <c r="B311" s="27"/>
      <c r="C311" s="27"/>
      <c r="D311" s="27"/>
      <c r="E311" s="33"/>
      <c r="F311" s="5"/>
      <c r="G311" s="34"/>
      <c r="H311" s="34"/>
      <c r="I311" s="34"/>
      <c r="J311" s="34"/>
      <c r="K311" s="34"/>
      <c r="L311" s="35"/>
    </row>
    <row r="312" spans="1:12" s="6" customFormat="1" x14ac:dyDescent="0.25">
      <c r="A312" s="26"/>
      <c r="B312" s="27"/>
      <c r="C312" s="27"/>
      <c r="D312" s="27"/>
      <c r="E312" s="33"/>
      <c r="F312" s="5"/>
      <c r="G312" s="34"/>
      <c r="H312" s="34"/>
      <c r="I312" s="34"/>
      <c r="J312" s="34"/>
      <c r="K312" s="34"/>
      <c r="L312" s="35"/>
    </row>
    <row r="313" spans="1:12" s="6" customFormat="1" x14ac:dyDescent="0.25">
      <c r="A313" s="26"/>
      <c r="B313" s="27"/>
      <c r="C313" s="27"/>
      <c r="D313" s="27"/>
      <c r="E313" s="33"/>
      <c r="F313" s="5"/>
      <c r="G313" s="34"/>
      <c r="H313" s="34"/>
      <c r="I313" s="34"/>
      <c r="J313" s="34"/>
      <c r="K313" s="34"/>
      <c r="L313" s="35"/>
    </row>
    <row r="314" spans="1:12" s="6" customFormat="1" x14ac:dyDescent="0.25">
      <c r="A314" s="26"/>
      <c r="B314" s="27"/>
      <c r="C314" s="27"/>
      <c r="D314" s="27"/>
      <c r="E314" s="33"/>
      <c r="F314" s="5"/>
      <c r="G314" s="34"/>
      <c r="H314" s="34"/>
      <c r="I314" s="34"/>
      <c r="J314" s="34"/>
      <c r="K314" s="34"/>
      <c r="L314" s="35"/>
    </row>
    <row r="315" spans="1:12" s="6" customFormat="1" x14ac:dyDescent="0.25">
      <c r="A315" s="26"/>
      <c r="B315" s="27"/>
      <c r="C315" s="27"/>
      <c r="D315" s="27"/>
      <c r="E315" s="33"/>
      <c r="F315" s="5"/>
      <c r="G315" s="34"/>
      <c r="H315" s="34"/>
      <c r="I315" s="34"/>
      <c r="J315" s="34"/>
      <c r="K315" s="34"/>
      <c r="L315" s="35"/>
    </row>
    <row r="316" spans="1:12" s="6" customFormat="1" x14ac:dyDescent="0.25">
      <c r="A316" s="26"/>
      <c r="B316" s="27"/>
      <c r="C316" s="27"/>
      <c r="D316" s="27"/>
      <c r="E316" s="33"/>
      <c r="F316" s="5"/>
      <c r="G316" s="34"/>
      <c r="H316" s="34"/>
      <c r="I316" s="34"/>
      <c r="J316" s="34"/>
      <c r="K316" s="34"/>
      <c r="L316" s="35"/>
    </row>
    <row r="317" spans="1:12" s="6" customFormat="1" x14ac:dyDescent="0.25">
      <c r="A317" s="26"/>
      <c r="B317" s="27"/>
      <c r="C317" s="27"/>
      <c r="D317" s="27"/>
      <c r="E317" s="33"/>
      <c r="F317" s="5"/>
      <c r="G317" s="34"/>
      <c r="H317" s="34"/>
      <c r="I317" s="34"/>
      <c r="J317" s="34"/>
      <c r="K317" s="34"/>
      <c r="L317" s="35"/>
    </row>
    <row r="318" spans="1:12" s="6" customFormat="1" x14ac:dyDescent="0.25">
      <c r="A318" s="26"/>
      <c r="B318" s="27"/>
      <c r="C318" s="27"/>
      <c r="D318" s="27"/>
      <c r="E318" s="33"/>
      <c r="F318" s="5"/>
      <c r="G318" s="34"/>
      <c r="H318" s="34"/>
      <c r="I318" s="34"/>
      <c r="J318" s="34"/>
      <c r="K318" s="34"/>
      <c r="L318" s="35"/>
    </row>
    <row r="319" spans="1:12" s="6" customFormat="1" x14ac:dyDescent="0.25">
      <c r="A319" s="26"/>
      <c r="B319" s="27"/>
      <c r="C319" s="27"/>
      <c r="D319" s="27"/>
      <c r="E319" s="33"/>
      <c r="F319" s="5"/>
      <c r="G319" s="34"/>
      <c r="H319" s="34"/>
      <c r="I319" s="34"/>
      <c r="J319" s="34"/>
      <c r="K319" s="34"/>
      <c r="L319" s="35"/>
    </row>
    <row r="320" spans="1:12" s="6" customFormat="1" x14ac:dyDescent="0.25">
      <c r="A320" s="26"/>
      <c r="B320" s="27"/>
      <c r="C320" s="27"/>
      <c r="D320" s="27"/>
      <c r="E320" s="33"/>
      <c r="F320" s="5"/>
      <c r="G320" s="34"/>
      <c r="H320" s="34"/>
      <c r="I320" s="34"/>
      <c r="J320" s="34"/>
      <c r="K320" s="34"/>
      <c r="L320" s="35"/>
    </row>
    <row r="321" spans="1:12" s="6" customFormat="1" x14ac:dyDescent="0.25">
      <c r="A321" s="26"/>
      <c r="B321" s="27"/>
      <c r="C321" s="27"/>
      <c r="D321" s="27"/>
      <c r="E321" s="33"/>
      <c r="F321" s="5"/>
      <c r="G321" s="34"/>
      <c r="H321" s="34"/>
      <c r="I321" s="34"/>
      <c r="J321" s="34"/>
      <c r="K321" s="34"/>
      <c r="L321" s="35"/>
    </row>
    <row r="322" spans="1:12" s="6" customFormat="1" x14ac:dyDescent="0.25">
      <c r="A322" s="26"/>
      <c r="B322" s="27"/>
      <c r="C322" s="27"/>
      <c r="D322" s="27"/>
      <c r="E322" s="33"/>
      <c r="F322" s="5"/>
      <c r="G322" s="34"/>
      <c r="H322" s="34"/>
      <c r="I322" s="34"/>
      <c r="J322" s="34"/>
      <c r="K322" s="34"/>
      <c r="L322" s="35"/>
    </row>
    <row r="323" spans="1:12" s="6" customFormat="1" x14ac:dyDescent="0.25">
      <c r="A323" s="26"/>
      <c r="B323" s="27"/>
      <c r="C323" s="27"/>
      <c r="D323" s="27"/>
      <c r="E323" s="33"/>
      <c r="F323" s="5"/>
      <c r="G323" s="34"/>
      <c r="H323" s="34"/>
      <c r="I323" s="34"/>
      <c r="J323" s="34"/>
      <c r="K323" s="34"/>
      <c r="L323" s="35"/>
    </row>
    <row r="324" spans="1:12" s="6" customFormat="1" x14ac:dyDescent="0.25">
      <c r="A324" s="26"/>
      <c r="B324" s="27"/>
      <c r="C324" s="27"/>
      <c r="D324" s="27"/>
      <c r="E324" s="33"/>
      <c r="F324" s="5"/>
      <c r="G324" s="34"/>
      <c r="H324" s="34"/>
      <c r="I324" s="34"/>
      <c r="J324" s="34"/>
      <c r="K324" s="34"/>
      <c r="L324" s="35"/>
    </row>
    <row r="325" spans="1:12" s="6" customFormat="1" x14ac:dyDescent="0.25">
      <c r="A325" s="26"/>
      <c r="B325" s="27"/>
      <c r="C325" s="27"/>
      <c r="D325" s="27"/>
      <c r="E325" s="33"/>
      <c r="F325" s="5"/>
      <c r="G325" s="34"/>
      <c r="H325" s="34"/>
      <c r="I325" s="34"/>
      <c r="J325" s="34"/>
      <c r="K325" s="34"/>
      <c r="L325" s="35"/>
    </row>
    <row r="326" spans="1:12" s="6" customFormat="1" x14ac:dyDescent="0.25">
      <c r="A326" s="26"/>
      <c r="B326" s="27"/>
      <c r="C326" s="27"/>
      <c r="D326" s="27"/>
      <c r="E326" s="33"/>
      <c r="F326" s="5"/>
      <c r="G326" s="34"/>
      <c r="H326" s="34"/>
      <c r="I326" s="34"/>
      <c r="J326" s="34"/>
      <c r="K326" s="34"/>
      <c r="L326" s="35"/>
    </row>
    <row r="327" spans="1:12" s="6" customFormat="1" x14ac:dyDescent="0.25">
      <c r="A327" s="26"/>
      <c r="B327" s="27"/>
      <c r="C327" s="27"/>
      <c r="D327" s="27"/>
      <c r="E327" s="33"/>
      <c r="F327" s="5"/>
      <c r="G327" s="34"/>
      <c r="H327" s="34"/>
      <c r="I327" s="34"/>
      <c r="J327" s="34"/>
      <c r="K327" s="34"/>
      <c r="L327" s="35"/>
    </row>
    <row r="328" spans="1:12" s="6" customFormat="1" x14ac:dyDescent="0.25">
      <c r="A328" s="26"/>
      <c r="B328" s="27"/>
      <c r="C328" s="27"/>
      <c r="D328" s="27"/>
      <c r="E328" s="33"/>
      <c r="F328" s="5"/>
      <c r="G328" s="34"/>
      <c r="H328" s="34"/>
      <c r="I328" s="34"/>
      <c r="J328" s="34"/>
      <c r="K328" s="34"/>
      <c r="L328" s="35"/>
    </row>
    <row r="329" spans="1:12" s="6" customFormat="1" x14ac:dyDescent="0.25">
      <c r="A329" s="26"/>
      <c r="B329" s="27"/>
      <c r="C329" s="27"/>
      <c r="D329" s="27"/>
      <c r="E329" s="33"/>
      <c r="F329" s="5"/>
      <c r="G329" s="34"/>
      <c r="H329" s="34"/>
      <c r="I329" s="34"/>
      <c r="J329" s="34"/>
      <c r="K329" s="34"/>
      <c r="L329" s="35"/>
    </row>
    <row r="330" spans="1:12" s="6" customFormat="1" x14ac:dyDescent="0.25">
      <c r="A330" s="26"/>
      <c r="B330" s="27"/>
      <c r="C330" s="27"/>
      <c r="D330" s="27"/>
      <c r="E330" s="33"/>
      <c r="F330" s="5"/>
      <c r="G330" s="34"/>
      <c r="H330" s="34"/>
      <c r="I330" s="34"/>
      <c r="J330" s="34"/>
      <c r="K330" s="34"/>
      <c r="L330" s="35"/>
    </row>
    <row r="331" spans="1:12" s="6" customFormat="1" x14ac:dyDescent="0.25">
      <c r="A331" s="26"/>
      <c r="B331" s="27"/>
      <c r="C331" s="27"/>
      <c r="D331" s="27"/>
      <c r="E331" s="33"/>
      <c r="F331" s="5"/>
      <c r="G331" s="34"/>
      <c r="H331" s="34"/>
      <c r="I331" s="34"/>
      <c r="J331" s="34"/>
      <c r="K331" s="34"/>
      <c r="L331" s="35"/>
    </row>
    <row r="332" spans="1:12" s="6" customFormat="1" x14ac:dyDescent="0.25">
      <c r="A332" s="26"/>
      <c r="B332" s="27"/>
      <c r="C332" s="27"/>
      <c r="D332" s="27"/>
      <c r="E332" s="33"/>
      <c r="F332" s="5"/>
      <c r="G332" s="34"/>
      <c r="H332" s="34"/>
      <c r="I332" s="34"/>
      <c r="J332" s="34"/>
      <c r="K332" s="34"/>
      <c r="L332" s="35"/>
    </row>
    <row r="333" spans="1:12" s="6" customFormat="1" x14ac:dyDescent="0.25">
      <c r="A333" s="26"/>
      <c r="B333" s="27"/>
      <c r="C333" s="27"/>
      <c r="D333" s="27"/>
      <c r="E333" s="33"/>
      <c r="F333" s="5"/>
      <c r="G333" s="34"/>
      <c r="H333" s="34"/>
      <c r="I333" s="34"/>
      <c r="J333" s="34"/>
      <c r="K333" s="34"/>
      <c r="L333" s="35"/>
    </row>
    <row r="334" spans="1:12" s="6" customFormat="1" x14ac:dyDescent="0.25">
      <c r="A334" s="26"/>
      <c r="B334" s="27"/>
      <c r="C334" s="27"/>
      <c r="D334" s="27"/>
      <c r="E334" s="33"/>
      <c r="F334" s="5"/>
      <c r="G334" s="34"/>
      <c r="H334" s="34"/>
      <c r="I334" s="34"/>
      <c r="J334" s="34"/>
      <c r="K334" s="34"/>
      <c r="L334" s="35"/>
    </row>
    <row r="335" spans="1:12" s="6" customFormat="1" x14ac:dyDescent="0.25">
      <c r="A335" s="26"/>
      <c r="B335" s="27"/>
      <c r="C335" s="27"/>
      <c r="D335" s="27"/>
      <c r="E335" s="33"/>
      <c r="F335" s="5"/>
      <c r="G335" s="34"/>
      <c r="H335" s="34"/>
      <c r="I335" s="34"/>
      <c r="J335" s="34"/>
      <c r="K335" s="34"/>
      <c r="L335" s="35"/>
    </row>
    <row r="336" spans="1:12" s="6" customFormat="1" x14ac:dyDescent="0.25">
      <c r="A336" s="26"/>
      <c r="B336" s="27"/>
      <c r="C336" s="27"/>
      <c r="D336" s="27"/>
      <c r="E336" s="33"/>
      <c r="F336" s="5"/>
      <c r="G336" s="34"/>
      <c r="H336" s="34"/>
      <c r="I336" s="34"/>
      <c r="J336" s="34"/>
      <c r="K336" s="34"/>
      <c r="L336" s="35"/>
    </row>
    <row r="337" spans="1:12" s="6" customFormat="1" x14ac:dyDescent="0.25">
      <c r="A337" s="26"/>
      <c r="B337" s="27"/>
      <c r="C337" s="27"/>
      <c r="D337" s="27"/>
      <c r="E337" s="33"/>
      <c r="F337" s="5"/>
      <c r="G337" s="34"/>
      <c r="H337" s="34"/>
      <c r="I337" s="34"/>
      <c r="J337" s="34"/>
      <c r="K337" s="34"/>
      <c r="L337" s="35"/>
    </row>
    <row r="338" spans="1:12" s="6" customFormat="1" x14ac:dyDescent="0.25">
      <c r="A338" s="26"/>
      <c r="B338" s="27"/>
      <c r="C338" s="27"/>
      <c r="D338" s="27"/>
      <c r="E338" s="33"/>
      <c r="F338" s="5"/>
      <c r="G338" s="34"/>
      <c r="H338" s="34"/>
      <c r="I338" s="34"/>
      <c r="J338" s="34"/>
      <c r="K338" s="34"/>
      <c r="L338" s="35"/>
    </row>
    <row r="339" spans="1:12" s="6" customFormat="1" x14ac:dyDescent="0.25">
      <c r="A339" s="26"/>
      <c r="B339" s="27"/>
      <c r="C339" s="27"/>
      <c r="D339" s="27"/>
      <c r="E339" s="33"/>
      <c r="F339" s="5"/>
      <c r="G339" s="34"/>
      <c r="H339" s="34"/>
      <c r="I339" s="34"/>
      <c r="J339" s="34"/>
      <c r="K339" s="34"/>
      <c r="L339" s="35"/>
    </row>
    <row r="340" spans="1:12" s="6" customFormat="1" x14ac:dyDescent="0.25">
      <c r="A340" s="26"/>
      <c r="B340" s="27"/>
      <c r="C340" s="27"/>
      <c r="D340" s="27"/>
      <c r="E340" s="33"/>
      <c r="F340" s="5"/>
      <c r="G340" s="34"/>
      <c r="H340" s="34"/>
      <c r="I340" s="34"/>
      <c r="J340" s="34"/>
      <c r="K340" s="34"/>
      <c r="L340" s="35"/>
    </row>
    <row r="341" spans="1:12" s="6" customFormat="1" x14ac:dyDescent="0.25">
      <c r="A341" s="26"/>
      <c r="B341" s="27"/>
      <c r="C341" s="27"/>
      <c r="D341" s="27"/>
      <c r="E341" s="33"/>
      <c r="F341" s="5"/>
      <c r="G341" s="34"/>
      <c r="H341" s="34"/>
      <c r="I341" s="34"/>
      <c r="J341" s="34"/>
      <c r="K341" s="34"/>
      <c r="L341" s="35"/>
    </row>
    <row r="342" spans="1:12" s="6" customFormat="1" x14ac:dyDescent="0.25">
      <c r="A342" s="26"/>
      <c r="B342" s="27"/>
      <c r="C342" s="27"/>
      <c r="D342" s="27"/>
      <c r="E342" s="33"/>
      <c r="F342" s="5"/>
      <c r="G342" s="34"/>
      <c r="H342" s="34"/>
      <c r="I342" s="34"/>
      <c r="J342" s="34"/>
      <c r="K342" s="34"/>
      <c r="L342" s="35"/>
    </row>
    <row r="343" spans="1:12" s="6" customFormat="1" x14ac:dyDescent="0.25">
      <c r="A343" s="26"/>
      <c r="B343" s="27"/>
      <c r="C343" s="27"/>
      <c r="D343" s="27"/>
      <c r="E343" s="33"/>
      <c r="F343" s="5"/>
      <c r="G343" s="34"/>
      <c r="H343" s="34"/>
      <c r="I343" s="34"/>
      <c r="J343" s="34"/>
      <c r="K343" s="34"/>
      <c r="L343" s="35"/>
    </row>
    <row r="344" spans="1:12" s="6" customFormat="1" x14ac:dyDescent="0.25">
      <c r="A344" s="26"/>
      <c r="B344" s="27"/>
      <c r="C344" s="27"/>
      <c r="D344" s="27"/>
      <c r="E344" s="33"/>
      <c r="F344" s="5"/>
      <c r="G344" s="34"/>
      <c r="H344" s="34"/>
      <c r="I344" s="34"/>
      <c r="J344" s="34"/>
      <c r="K344" s="34"/>
      <c r="L344" s="35"/>
    </row>
    <row r="345" spans="1:12" s="6" customFormat="1" x14ac:dyDescent="0.25">
      <c r="A345" s="26"/>
      <c r="B345" s="27"/>
      <c r="C345" s="27"/>
      <c r="D345" s="27"/>
      <c r="E345" s="33"/>
      <c r="F345" s="5"/>
      <c r="G345" s="34"/>
      <c r="H345" s="34"/>
      <c r="I345" s="34"/>
      <c r="J345" s="34"/>
      <c r="K345" s="34"/>
      <c r="L345" s="35"/>
    </row>
    <row r="346" spans="1:12" s="6" customFormat="1" x14ac:dyDescent="0.25">
      <c r="A346" s="26"/>
      <c r="B346" s="27"/>
      <c r="C346" s="27"/>
      <c r="D346" s="27"/>
      <c r="E346" s="33"/>
      <c r="F346" s="5"/>
      <c r="G346" s="34"/>
      <c r="H346" s="34"/>
      <c r="I346" s="34"/>
      <c r="J346" s="34"/>
      <c r="K346" s="34"/>
      <c r="L346" s="35"/>
    </row>
    <row r="347" spans="1:12" s="6" customFormat="1" x14ac:dyDescent="0.25">
      <c r="A347" s="26"/>
      <c r="B347" s="27"/>
      <c r="C347" s="27"/>
      <c r="D347" s="27"/>
      <c r="E347" s="33"/>
      <c r="F347" s="5"/>
      <c r="G347" s="34"/>
      <c r="H347" s="34"/>
      <c r="I347" s="34"/>
      <c r="J347" s="34"/>
      <c r="K347" s="34"/>
      <c r="L347" s="35"/>
    </row>
    <row r="348" spans="1:12" s="6" customFormat="1" x14ac:dyDescent="0.25">
      <c r="A348" s="26"/>
      <c r="B348" s="27"/>
      <c r="C348" s="27"/>
      <c r="D348" s="27"/>
      <c r="E348" s="33"/>
      <c r="F348" s="5"/>
      <c r="G348" s="34"/>
      <c r="H348" s="34"/>
      <c r="I348" s="34"/>
      <c r="J348" s="34"/>
      <c r="K348" s="34"/>
      <c r="L348" s="35"/>
    </row>
    <row r="349" spans="1:12" s="6" customFormat="1" x14ac:dyDescent="0.25">
      <c r="A349" s="26"/>
      <c r="B349" s="27"/>
      <c r="C349" s="27"/>
      <c r="D349" s="27"/>
      <c r="E349" s="33"/>
      <c r="F349" s="5"/>
      <c r="G349" s="34"/>
      <c r="H349" s="34"/>
      <c r="I349" s="34"/>
      <c r="J349" s="34"/>
      <c r="K349" s="34"/>
      <c r="L349" s="35"/>
    </row>
    <row r="350" spans="1:12" s="6" customFormat="1" x14ac:dyDescent="0.25">
      <c r="A350" s="26"/>
      <c r="B350" s="27"/>
      <c r="C350" s="27"/>
      <c r="D350" s="27"/>
      <c r="E350" s="33"/>
      <c r="F350" s="5"/>
      <c r="G350" s="34"/>
      <c r="H350" s="34"/>
      <c r="I350" s="34"/>
      <c r="J350" s="34"/>
      <c r="K350" s="34"/>
      <c r="L350" s="35"/>
    </row>
    <row r="351" spans="1:12" s="6" customFormat="1" x14ac:dyDescent="0.25">
      <c r="A351" s="26"/>
      <c r="B351" s="27"/>
      <c r="C351" s="27"/>
      <c r="D351" s="27"/>
      <c r="E351" s="33"/>
      <c r="F351" s="5"/>
      <c r="G351" s="34"/>
      <c r="H351" s="34"/>
      <c r="I351" s="34"/>
      <c r="J351" s="34"/>
      <c r="K351" s="34"/>
      <c r="L351" s="35"/>
    </row>
    <row r="352" spans="1:12" s="6" customFormat="1" x14ac:dyDescent="0.25">
      <c r="A352" s="26"/>
      <c r="B352" s="27"/>
      <c r="C352" s="27"/>
      <c r="D352" s="27"/>
      <c r="E352" s="33"/>
      <c r="F352" s="5"/>
      <c r="G352" s="34"/>
      <c r="H352" s="34"/>
      <c r="I352" s="34"/>
      <c r="J352" s="34"/>
      <c r="K352" s="34"/>
      <c r="L352" s="35"/>
    </row>
    <row r="353" spans="1:12" s="6" customFormat="1" x14ac:dyDescent="0.25">
      <c r="A353" s="26"/>
      <c r="B353" s="27"/>
      <c r="C353" s="27"/>
      <c r="D353" s="27"/>
      <c r="E353" s="33"/>
      <c r="F353" s="5"/>
      <c r="G353" s="34"/>
      <c r="H353" s="34"/>
      <c r="I353" s="34"/>
      <c r="J353" s="34"/>
      <c r="K353" s="34"/>
      <c r="L353" s="35"/>
    </row>
    <row r="354" spans="1:12" s="6" customFormat="1" x14ac:dyDescent="0.25">
      <c r="A354" s="26"/>
      <c r="B354" s="27"/>
      <c r="C354" s="27"/>
      <c r="D354" s="27"/>
      <c r="E354" s="33"/>
      <c r="F354" s="5"/>
      <c r="G354" s="34"/>
      <c r="H354" s="34"/>
      <c r="I354" s="34"/>
      <c r="J354" s="34"/>
      <c r="K354" s="34"/>
      <c r="L354" s="35"/>
    </row>
    <row r="355" spans="1:12" s="6" customFormat="1" x14ac:dyDescent="0.25">
      <c r="A355" s="26"/>
      <c r="B355" s="27"/>
      <c r="C355" s="27"/>
      <c r="D355" s="27"/>
      <c r="E355" s="33"/>
      <c r="F355" s="5"/>
      <c r="G355" s="34"/>
      <c r="H355" s="34"/>
      <c r="I355" s="34"/>
      <c r="J355" s="34"/>
      <c r="K355" s="34"/>
      <c r="L355" s="35"/>
    </row>
    <row r="356" spans="1:12" s="6" customFormat="1" x14ac:dyDescent="0.25">
      <c r="A356" s="26"/>
      <c r="B356" s="27"/>
      <c r="C356" s="27"/>
      <c r="D356" s="27"/>
      <c r="E356" s="33"/>
      <c r="F356" s="5"/>
      <c r="G356" s="34"/>
      <c r="H356" s="34"/>
      <c r="I356" s="34"/>
      <c r="J356" s="34"/>
      <c r="K356" s="34"/>
      <c r="L356" s="35"/>
    </row>
    <row r="357" spans="1:12" s="6" customFormat="1" x14ac:dyDescent="0.25">
      <c r="A357" s="26"/>
      <c r="B357" s="27"/>
      <c r="C357" s="27"/>
      <c r="D357" s="27"/>
      <c r="E357" s="33"/>
      <c r="F357" s="5"/>
      <c r="G357" s="34"/>
      <c r="H357" s="34"/>
      <c r="I357" s="34"/>
      <c r="J357" s="34"/>
      <c r="K357" s="34"/>
      <c r="L357" s="35"/>
    </row>
    <row r="358" spans="1:12" s="6" customFormat="1" x14ac:dyDescent="0.25">
      <c r="A358" s="26"/>
      <c r="B358" s="27"/>
      <c r="C358" s="27"/>
      <c r="D358" s="27"/>
      <c r="E358" s="33"/>
      <c r="F358" s="5"/>
      <c r="G358" s="34"/>
      <c r="H358" s="34"/>
      <c r="I358" s="34"/>
      <c r="J358" s="34"/>
      <c r="K358" s="34"/>
      <c r="L358" s="35"/>
    </row>
    <row r="359" spans="1:12" s="6" customFormat="1" x14ac:dyDescent="0.25">
      <c r="A359" s="26"/>
      <c r="B359" s="27"/>
      <c r="C359" s="27"/>
      <c r="D359" s="27"/>
      <c r="E359" s="33"/>
      <c r="F359" s="5"/>
      <c r="G359" s="34"/>
      <c r="H359" s="34"/>
      <c r="I359" s="34"/>
      <c r="J359" s="34"/>
      <c r="K359" s="34"/>
      <c r="L359" s="35"/>
    </row>
    <row r="360" spans="1:12" s="6" customFormat="1" x14ac:dyDescent="0.25">
      <c r="A360" s="26"/>
      <c r="B360" s="27"/>
      <c r="C360" s="27"/>
      <c r="D360" s="27"/>
      <c r="E360" s="33"/>
      <c r="F360" s="5"/>
      <c r="G360" s="34"/>
      <c r="H360" s="34"/>
      <c r="I360" s="34"/>
      <c r="J360" s="34"/>
      <c r="K360" s="34"/>
      <c r="L360" s="35"/>
    </row>
    <row r="361" spans="1:12" s="6" customFormat="1" x14ac:dyDescent="0.25">
      <c r="A361" s="26"/>
      <c r="B361" s="27"/>
      <c r="C361" s="27"/>
      <c r="D361" s="27"/>
      <c r="E361" s="33"/>
      <c r="F361" s="5"/>
      <c r="G361" s="34"/>
      <c r="H361" s="34"/>
      <c r="I361" s="34"/>
      <c r="J361" s="34"/>
      <c r="K361" s="34"/>
      <c r="L361" s="35"/>
    </row>
    <row r="362" spans="1:12" s="6" customFormat="1" x14ac:dyDescent="0.25">
      <c r="A362" s="26"/>
      <c r="B362" s="27"/>
      <c r="C362" s="27"/>
      <c r="D362" s="27"/>
      <c r="E362" s="33"/>
      <c r="F362" s="5"/>
      <c r="G362" s="34"/>
      <c r="H362" s="34"/>
      <c r="I362" s="34"/>
      <c r="J362" s="34"/>
      <c r="K362" s="34"/>
      <c r="L362" s="35"/>
    </row>
    <row r="363" spans="1:12" s="6" customFormat="1" x14ac:dyDescent="0.25">
      <c r="A363" s="26"/>
      <c r="B363" s="27"/>
      <c r="C363" s="27"/>
      <c r="D363" s="27"/>
      <c r="E363" s="33"/>
      <c r="F363" s="5"/>
      <c r="G363" s="34"/>
      <c r="H363" s="34"/>
      <c r="I363" s="34"/>
      <c r="J363" s="34"/>
      <c r="K363" s="34"/>
      <c r="L363" s="35"/>
    </row>
    <row r="364" spans="1:12" s="6" customFormat="1" x14ac:dyDescent="0.25">
      <c r="A364" s="26"/>
      <c r="B364" s="27"/>
      <c r="C364" s="27"/>
      <c r="D364" s="27"/>
      <c r="E364" s="33"/>
      <c r="F364" s="5"/>
      <c r="G364" s="34"/>
      <c r="H364" s="34"/>
      <c r="I364" s="34"/>
      <c r="J364" s="34"/>
      <c r="K364" s="34"/>
      <c r="L364" s="35"/>
    </row>
    <row r="365" spans="1:12" s="6" customFormat="1" x14ac:dyDescent="0.25">
      <c r="A365" s="26"/>
      <c r="B365" s="27"/>
      <c r="C365" s="27"/>
      <c r="D365" s="27"/>
      <c r="E365" s="33"/>
      <c r="F365" s="5"/>
      <c r="G365" s="34"/>
      <c r="H365" s="34"/>
      <c r="I365" s="34"/>
      <c r="J365" s="34"/>
      <c r="K365" s="34"/>
      <c r="L365" s="35"/>
    </row>
    <row r="366" spans="1:12" s="6" customFormat="1" x14ac:dyDescent="0.25">
      <c r="A366" s="26"/>
      <c r="B366" s="27"/>
      <c r="C366" s="27"/>
      <c r="D366" s="27"/>
      <c r="E366" s="33"/>
      <c r="F366" s="5"/>
      <c r="G366" s="34"/>
      <c r="H366" s="34"/>
      <c r="I366" s="34"/>
      <c r="J366" s="34"/>
      <c r="K366" s="34"/>
      <c r="L366" s="35"/>
    </row>
    <row r="367" spans="1:12" s="6" customFormat="1" x14ac:dyDescent="0.25">
      <c r="A367" s="26"/>
      <c r="B367" s="27"/>
      <c r="C367" s="27"/>
      <c r="D367" s="27"/>
      <c r="E367" s="33"/>
      <c r="F367" s="5"/>
      <c r="G367" s="34"/>
      <c r="H367" s="34"/>
      <c r="I367" s="34"/>
      <c r="J367" s="34"/>
      <c r="K367" s="34"/>
      <c r="L367" s="35"/>
    </row>
    <row r="368" spans="1:12" s="6" customFormat="1" x14ac:dyDescent="0.25">
      <c r="A368" s="26"/>
      <c r="B368" s="27"/>
      <c r="C368" s="27"/>
      <c r="D368" s="27"/>
      <c r="E368" s="33"/>
      <c r="F368" s="5"/>
      <c r="G368" s="34"/>
      <c r="H368" s="34"/>
      <c r="I368" s="34"/>
      <c r="J368" s="34"/>
      <c r="K368" s="34"/>
      <c r="L368" s="35"/>
    </row>
    <row r="369" spans="1:12" s="6" customFormat="1" x14ac:dyDescent="0.25">
      <c r="A369" s="26"/>
      <c r="B369" s="27"/>
      <c r="C369" s="27"/>
      <c r="D369" s="27"/>
      <c r="E369" s="33"/>
      <c r="F369" s="5"/>
      <c r="G369" s="34"/>
      <c r="H369" s="34"/>
      <c r="I369" s="34"/>
      <c r="J369" s="34"/>
      <c r="K369" s="34"/>
      <c r="L369" s="35"/>
    </row>
    <row r="370" spans="1:12" s="6" customFormat="1" x14ac:dyDescent="0.25">
      <c r="A370" s="26"/>
      <c r="B370" s="27"/>
      <c r="C370" s="27"/>
      <c r="D370" s="27"/>
      <c r="E370" s="33"/>
      <c r="F370" s="5"/>
      <c r="G370" s="34"/>
      <c r="H370" s="34"/>
      <c r="I370" s="34"/>
      <c r="J370" s="34"/>
      <c r="K370" s="34"/>
      <c r="L370" s="35"/>
    </row>
    <row r="371" spans="1:12" s="6" customFormat="1" x14ac:dyDescent="0.25">
      <c r="A371" s="26"/>
      <c r="B371" s="27"/>
      <c r="C371" s="27"/>
      <c r="D371" s="27"/>
      <c r="E371" s="33"/>
      <c r="F371" s="5"/>
      <c r="G371" s="34"/>
      <c r="H371" s="34"/>
      <c r="I371" s="34"/>
      <c r="J371" s="34"/>
      <c r="K371" s="34"/>
      <c r="L371" s="35"/>
    </row>
    <row r="372" spans="1:12" s="6" customFormat="1" x14ac:dyDescent="0.25">
      <c r="A372" s="26"/>
      <c r="B372" s="27"/>
      <c r="C372" s="27"/>
      <c r="D372" s="27"/>
      <c r="E372" s="33"/>
      <c r="F372" s="5"/>
      <c r="G372" s="34"/>
      <c r="H372" s="34"/>
      <c r="I372" s="34"/>
      <c r="J372" s="34"/>
      <c r="K372" s="34"/>
      <c r="L372" s="35"/>
    </row>
    <row r="373" spans="1:12" s="6" customFormat="1" x14ac:dyDescent="0.25">
      <c r="A373" s="26"/>
      <c r="B373" s="27"/>
      <c r="C373" s="27"/>
      <c r="D373" s="27"/>
      <c r="E373" s="33"/>
      <c r="F373" s="5"/>
      <c r="G373" s="34"/>
      <c r="H373" s="34"/>
      <c r="I373" s="34"/>
      <c r="J373" s="34"/>
      <c r="K373" s="34"/>
      <c r="L373" s="35"/>
    </row>
    <row r="374" spans="1:12" s="6" customFormat="1" x14ac:dyDescent="0.25">
      <c r="A374" s="26"/>
      <c r="B374" s="27"/>
      <c r="C374" s="27"/>
      <c r="D374" s="27"/>
      <c r="E374" s="33"/>
      <c r="F374" s="5"/>
      <c r="G374" s="34"/>
      <c r="H374" s="34"/>
      <c r="I374" s="34"/>
      <c r="J374" s="34"/>
      <c r="K374" s="34"/>
      <c r="L374" s="35"/>
    </row>
    <row r="375" spans="1:12" s="6" customFormat="1" x14ac:dyDescent="0.25">
      <c r="A375" s="26"/>
      <c r="B375" s="27"/>
      <c r="C375" s="27"/>
      <c r="D375" s="27"/>
      <c r="E375" s="33"/>
      <c r="F375" s="5"/>
      <c r="G375" s="34"/>
      <c r="H375" s="34"/>
      <c r="I375" s="34"/>
      <c r="J375" s="34"/>
      <c r="K375" s="34"/>
      <c r="L375" s="35"/>
    </row>
    <row r="376" spans="1:12" s="6" customFormat="1" x14ac:dyDescent="0.25">
      <c r="A376" s="26"/>
      <c r="B376" s="27"/>
      <c r="C376" s="27"/>
      <c r="D376" s="27"/>
      <c r="E376" s="33"/>
      <c r="F376" s="5"/>
      <c r="G376" s="34"/>
      <c r="H376" s="34"/>
      <c r="I376" s="34"/>
      <c r="J376" s="34"/>
      <c r="K376" s="34"/>
      <c r="L376" s="35"/>
    </row>
    <row r="377" spans="1:12" s="6" customFormat="1" x14ac:dyDescent="0.25">
      <c r="A377" s="26"/>
      <c r="B377" s="27"/>
      <c r="C377" s="27"/>
      <c r="D377" s="27"/>
      <c r="E377" s="33"/>
      <c r="F377" s="5"/>
      <c r="G377" s="34"/>
      <c r="H377" s="34"/>
      <c r="I377" s="34"/>
      <c r="J377" s="34"/>
      <c r="K377" s="34"/>
      <c r="L377" s="35"/>
    </row>
    <row r="378" spans="1:12" s="6" customFormat="1" x14ac:dyDescent="0.25">
      <c r="A378" s="26"/>
      <c r="B378" s="27"/>
      <c r="C378" s="27"/>
      <c r="D378" s="27"/>
      <c r="E378" s="33"/>
      <c r="F378" s="5"/>
      <c r="G378" s="34"/>
      <c r="H378" s="34"/>
      <c r="I378" s="34"/>
      <c r="J378" s="34"/>
      <c r="K378" s="34"/>
      <c r="L378" s="35"/>
    </row>
    <row r="379" spans="1:12" s="6" customFormat="1" x14ac:dyDescent="0.25">
      <c r="A379" s="26"/>
      <c r="B379" s="27"/>
      <c r="C379" s="27"/>
      <c r="D379" s="27"/>
      <c r="E379" s="33"/>
      <c r="F379" s="5"/>
      <c r="G379" s="34"/>
      <c r="H379" s="34"/>
      <c r="I379" s="34"/>
      <c r="J379" s="34"/>
      <c r="K379" s="34"/>
      <c r="L379" s="35"/>
    </row>
    <row r="380" spans="1:12" s="6" customFormat="1" x14ac:dyDescent="0.25">
      <c r="A380" s="26"/>
      <c r="B380" s="27"/>
      <c r="C380" s="27"/>
      <c r="D380" s="27"/>
      <c r="E380" s="33"/>
      <c r="F380" s="5"/>
      <c r="G380" s="34"/>
      <c r="H380" s="34"/>
      <c r="I380" s="34"/>
      <c r="J380" s="34"/>
      <c r="K380" s="34"/>
      <c r="L380" s="35"/>
    </row>
    <row r="381" spans="1:12" s="6" customFormat="1" x14ac:dyDescent="0.25">
      <c r="A381" s="26"/>
      <c r="B381" s="27"/>
      <c r="C381" s="27"/>
      <c r="D381" s="27"/>
      <c r="E381" s="33"/>
      <c r="F381" s="5"/>
      <c r="G381" s="34"/>
      <c r="H381" s="34"/>
      <c r="I381" s="34"/>
      <c r="J381" s="34"/>
      <c r="K381" s="34"/>
      <c r="L381" s="35"/>
    </row>
    <row r="382" spans="1:12" s="6" customFormat="1" x14ac:dyDescent="0.25">
      <c r="A382" s="26"/>
      <c r="B382" s="27"/>
      <c r="C382" s="27"/>
      <c r="D382" s="27"/>
      <c r="E382" s="33"/>
      <c r="F382" s="5"/>
      <c r="G382" s="34"/>
      <c r="H382" s="34"/>
      <c r="I382" s="34"/>
      <c r="J382" s="34"/>
      <c r="K382" s="34"/>
      <c r="L382" s="35"/>
    </row>
    <row r="383" spans="1:12" s="6" customFormat="1" x14ac:dyDescent="0.25">
      <c r="A383" s="26"/>
      <c r="B383" s="27"/>
      <c r="C383" s="27"/>
      <c r="D383" s="27"/>
      <c r="E383" s="33"/>
      <c r="F383" s="5"/>
      <c r="G383" s="34"/>
      <c r="H383" s="34"/>
      <c r="I383" s="34"/>
      <c r="J383" s="34"/>
      <c r="K383" s="34"/>
      <c r="L383" s="35"/>
    </row>
    <row r="384" spans="1:12" s="6" customFormat="1" x14ac:dyDescent="0.25">
      <c r="A384" s="26"/>
      <c r="B384" s="27"/>
      <c r="C384" s="27"/>
      <c r="D384" s="27"/>
      <c r="E384" s="33"/>
      <c r="F384" s="5"/>
      <c r="G384" s="34"/>
      <c r="H384" s="34"/>
      <c r="I384" s="34"/>
      <c r="J384" s="34"/>
      <c r="K384" s="34"/>
      <c r="L384" s="35"/>
    </row>
    <row r="385" spans="1:12" s="6" customFormat="1" x14ac:dyDescent="0.25">
      <c r="A385" s="26"/>
      <c r="B385" s="27"/>
      <c r="C385" s="27"/>
      <c r="D385" s="27"/>
      <c r="E385" s="33"/>
      <c r="F385" s="5"/>
      <c r="G385" s="34"/>
      <c r="H385" s="34"/>
      <c r="I385" s="34"/>
      <c r="J385" s="34"/>
      <c r="K385" s="34"/>
      <c r="L385" s="35"/>
    </row>
    <row r="386" spans="1:12" s="6" customFormat="1" x14ac:dyDescent="0.25">
      <c r="A386" s="26"/>
      <c r="B386" s="27"/>
      <c r="C386" s="27"/>
      <c r="D386" s="27"/>
      <c r="E386" s="33"/>
      <c r="F386" s="5"/>
      <c r="G386" s="34"/>
      <c r="H386" s="34"/>
      <c r="I386" s="34"/>
      <c r="J386" s="34"/>
      <c r="K386" s="34"/>
      <c r="L386" s="35"/>
    </row>
    <row r="387" spans="1:12" s="6" customFormat="1" x14ac:dyDescent="0.25">
      <c r="A387" s="26"/>
      <c r="B387" s="27"/>
      <c r="C387" s="27"/>
      <c r="D387" s="27"/>
      <c r="E387" s="33"/>
      <c r="F387" s="5"/>
      <c r="G387" s="34"/>
      <c r="H387" s="34"/>
      <c r="I387" s="34"/>
      <c r="J387" s="34"/>
      <c r="K387" s="34"/>
      <c r="L387" s="35"/>
    </row>
    <row r="388" spans="1:12" s="6" customFormat="1" x14ac:dyDescent="0.25">
      <c r="A388" s="26"/>
      <c r="B388" s="27"/>
      <c r="C388" s="27"/>
      <c r="D388" s="27"/>
      <c r="E388" s="33"/>
      <c r="F388" s="5"/>
      <c r="G388" s="34"/>
      <c r="H388" s="34"/>
      <c r="I388" s="34"/>
      <c r="J388" s="34"/>
      <c r="K388" s="34"/>
      <c r="L388" s="35"/>
    </row>
    <row r="389" spans="1:12" s="6" customFormat="1" x14ac:dyDescent="0.25">
      <c r="A389" s="26"/>
      <c r="B389" s="27"/>
      <c r="C389" s="27"/>
      <c r="D389" s="27"/>
      <c r="E389" s="33"/>
      <c r="F389" s="5"/>
      <c r="G389" s="34"/>
      <c r="H389" s="34"/>
      <c r="I389" s="34"/>
      <c r="J389" s="34"/>
      <c r="K389" s="34"/>
      <c r="L389" s="35"/>
    </row>
    <row r="390" spans="1:12" s="6" customFormat="1" x14ac:dyDescent="0.25">
      <c r="A390" s="26"/>
      <c r="B390" s="27"/>
      <c r="C390" s="27"/>
      <c r="D390" s="27"/>
      <c r="E390" s="33"/>
      <c r="F390" s="5"/>
      <c r="G390" s="34"/>
      <c r="H390" s="34"/>
      <c r="I390" s="34"/>
      <c r="J390" s="34"/>
      <c r="K390" s="34"/>
      <c r="L390" s="35"/>
    </row>
    <row r="391" spans="1:12" s="6" customFormat="1" x14ac:dyDescent="0.25">
      <c r="A391" s="26"/>
      <c r="B391" s="27"/>
      <c r="C391" s="27"/>
      <c r="D391" s="27"/>
      <c r="E391" s="33"/>
      <c r="F391" s="5"/>
      <c r="G391" s="34"/>
      <c r="H391" s="34"/>
      <c r="I391" s="34"/>
      <c r="J391" s="34"/>
      <c r="K391" s="34"/>
      <c r="L391" s="35"/>
    </row>
    <row r="392" spans="1:12" s="6" customFormat="1" x14ac:dyDescent="0.25">
      <c r="A392" s="26"/>
      <c r="B392" s="27"/>
      <c r="C392" s="27"/>
      <c r="D392" s="27"/>
      <c r="E392" s="33"/>
      <c r="F392" s="5"/>
      <c r="G392" s="34"/>
      <c r="H392" s="34"/>
      <c r="I392" s="34"/>
      <c r="J392" s="34"/>
      <c r="K392" s="34"/>
      <c r="L392" s="35"/>
    </row>
    <row r="393" spans="1:12" s="6" customFormat="1" x14ac:dyDescent="0.25">
      <c r="A393" s="26"/>
      <c r="B393" s="27"/>
      <c r="C393" s="27"/>
      <c r="D393" s="27"/>
      <c r="E393" s="33"/>
      <c r="F393" s="5"/>
      <c r="G393" s="34"/>
      <c r="H393" s="34"/>
      <c r="I393" s="34"/>
      <c r="J393" s="34"/>
      <c r="K393" s="34"/>
      <c r="L393" s="35"/>
    </row>
    <row r="394" spans="1:12" s="6" customFormat="1" x14ac:dyDescent="0.25">
      <c r="A394" s="26"/>
      <c r="B394" s="27"/>
      <c r="C394" s="27"/>
      <c r="D394" s="27"/>
      <c r="E394" s="33"/>
      <c r="F394" s="5"/>
      <c r="G394" s="34"/>
      <c r="H394" s="34"/>
      <c r="I394" s="34"/>
      <c r="J394" s="34"/>
      <c r="K394" s="34"/>
      <c r="L394" s="35"/>
    </row>
    <row r="395" spans="1:12" s="6" customFormat="1" x14ac:dyDescent="0.25">
      <c r="A395" s="26"/>
      <c r="B395" s="27"/>
      <c r="C395" s="27"/>
      <c r="D395" s="27"/>
      <c r="E395" s="33"/>
      <c r="F395" s="5"/>
      <c r="G395" s="34"/>
      <c r="H395" s="34"/>
      <c r="I395" s="34"/>
      <c r="J395" s="34"/>
      <c r="K395" s="34"/>
      <c r="L395" s="35"/>
    </row>
    <row r="396" spans="1:12" s="6" customFormat="1" x14ac:dyDescent="0.25">
      <c r="A396" s="26"/>
      <c r="B396" s="27"/>
      <c r="C396" s="27"/>
      <c r="D396" s="27"/>
      <c r="E396" s="33"/>
      <c r="F396" s="5"/>
      <c r="G396" s="34"/>
      <c r="H396" s="34"/>
      <c r="I396" s="34"/>
      <c r="J396" s="34"/>
      <c r="K396" s="34"/>
      <c r="L396" s="35"/>
    </row>
    <row r="397" spans="1:12" s="6" customFormat="1" x14ac:dyDescent="0.25">
      <c r="A397" s="26"/>
      <c r="B397" s="27"/>
      <c r="C397" s="27"/>
      <c r="D397" s="27"/>
      <c r="E397" s="33"/>
      <c r="F397" s="5"/>
      <c r="G397" s="34"/>
      <c r="H397" s="34"/>
      <c r="I397" s="34"/>
      <c r="J397" s="34"/>
      <c r="K397" s="34"/>
      <c r="L397" s="35"/>
    </row>
    <row r="398" spans="1:12" s="6" customFormat="1" x14ac:dyDescent="0.25">
      <c r="A398" s="26"/>
      <c r="B398" s="27"/>
      <c r="C398" s="27"/>
      <c r="D398" s="27"/>
      <c r="E398" s="33"/>
      <c r="F398" s="5"/>
      <c r="G398" s="34"/>
      <c r="H398" s="34"/>
      <c r="I398" s="34"/>
      <c r="J398" s="34"/>
      <c r="K398" s="34"/>
      <c r="L398" s="35"/>
    </row>
    <row r="399" spans="1:12" s="6" customFormat="1" x14ac:dyDescent="0.25">
      <c r="A399" s="26"/>
      <c r="B399" s="27"/>
      <c r="C399" s="27"/>
      <c r="D399" s="27"/>
      <c r="E399" s="33"/>
      <c r="F399" s="5"/>
      <c r="G399" s="34"/>
      <c r="H399" s="34"/>
      <c r="I399" s="34"/>
      <c r="J399" s="34"/>
      <c r="K399" s="34"/>
      <c r="L399" s="35"/>
    </row>
    <row r="400" spans="1:12" s="6" customFormat="1" x14ac:dyDescent="0.25">
      <c r="A400" s="26"/>
      <c r="B400" s="27"/>
      <c r="C400" s="27"/>
      <c r="D400" s="27"/>
      <c r="E400" s="33"/>
      <c r="F400" s="5"/>
      <c r="G400" s="34"/>
      <c r="H400" s="34"/>
      <c r="I400" s="34"/>
      <c r="J400" s="34"/>
      <c r="K400" s="34"/>
      <c r="L400" s="35"/>
    </row>
    <row r="401" spans="1:12" s="6" customFormat="1" x14ac:dyDescent="0.25">
      <c r="A401" s="26"/>
      <c r="B401" s="27"/>
      <c r="C401" s="27"/>
      <c r="D401" s="27"/>
      <c r="E401" s="33"/>
      <c r="F401" s="5"/>
      <c r="G401" s="34"/>
      <c r="H401" s="34"/>
      <c r="I401" s="34"/>
      <c r="J401" s="34"/>
      <c r="K401" s="34"/>
      <c r="L401" s="35"/>
    </row>
    <row r="402" spans="1:12" s="6" customFormat="1" x14ac:dyDescent="0.25">
      <c r="A402" s="26"/>
      <c r="B402" s="27"/>
      <c r="C402" s="27"/>
      <c r="D402" s="27"/>
      <c r="E402" s="33"/>
      <c r="F402" s="5"/>
      <c r="G402" s="34"/>
      <c r="H402" s="34"/>
      <c r="I402" s="34"/>
      <c r="J402" s="34"/>
      <c r="K402" s="34"/>
      <c r="L402" s="35"/>
    </row>
    <row r="403" spans="1:12" s="6" customFormat="1" x14ac:dyDescent="0.25">
      <c r="A403" s="26"/>
      <c r="B403" s="27"/>
      <c r="C403" s="27"/>
      <c r="D403" s="27"/>
      <c r="E403" s="33"/>
      <c r="F403" s="5"/>
      <c r="G403" s="34"/>
      <c r="H403" s="34"/>
      <c r="I403" s="34"/>
      <c r="J403" s="34"/>
      <c r="K403" s="34"/>
      <c r="L403" s="35"/>
    </row>
    <row r="404" spans="1:12" s="6" customFormat="1" x14ac:dyDescent="0.25">
      <c r="A404" s="26"/>
      <c r="B404" s="27"/>
      <c r="C404" s="27"/>
      <c r="D404" s="27"/>
      <c r="E404" s="33"/>
      <c r="F404" s="5"/>
      <c r="G404" s="34"/>
      <c r="H404" s="34"/>
      <c r="I404" s="34"/>
      <c r="J404" s="34"/>
      <c r="K404" s="34"/>
      <c r="L404" s="35"/>
    </row>
    <row r="405" spans="1:12" s="6" customFormat="1" x14ac:dyDescent="0.25">
      <c r="A405" s="26"/>
      <c r="B405" s="27"/>
      <c r="C405" s="27"/>
      <c r="D405" s="27"/>
      <c r="E405" s="33"/>
      <c r="F405" s="5"/>
      <c r="G405" s="34"/>
      <c r="H405" s="34"/>
      <c r="I405" s="34"/>
      <c r="J405" s="34"/>
      <c r="K405" s="34"/>
      <c r="L405" s="35"/>
    </row>
    <row r="406" spans="1:12" s="6" customFormat="1" x14ac:dyDescent="0.25">
      <c r="A406" s="26"/>
      <c r="B406" s="27"/>
      <c r="C406" s="27"/>
      <c r="D406" s="27"/>
      <c r="E406" s="33"/>
      <c r="F406" s="5"/>
      <c r="G406" s="34"/>
      <c r="H406" s="34"/>
      <c r="I406" s="34"/>
      <c r="J406" s="34"/>
      <c r="K406" s="34"/>
      <c r="L406" s="35"/>
    </row>
    <row r="407" spans="1:12" s="6" customFormat="1" x14ac:dyDescent="0.25">
      <c r="A407" s="26"/>
      <c r="B407" s="27"/>
      <c r="C407" s="27"/>
      <c r="D407" s="27"/>
      <c r="E407" s="33"/>
      <c r="F407" s="5"/>
      <c r="G407" s="34"/>
      <c r="H407" s="34"/>
      <c r="I407" s="34"/>
      <c r="J407" s="34"/>
      <c r="K407" s="34"/>
      <c r="L407" s="35"/>
    </row>
    <row r="408" spans="1:12" s="6" customFormat="1" x14ac:dyDescent="0.25">
      <c r="A408" s="26"/>
      <c r="B408" s="27"/>
      <c r="C408" s="27"/>
      <c r="D408" s="27"/>
      <c r="E408" s="33"/>
      <c r="F408" s="5"/>
      <c r="G408" s="34"/>
      <c r="H408" s="34"/>
      <c r="I408" s="34"/>
      <c r="J408" s="34"/>
      <c r="K408" s="34"/>
      <c r="L408" s="35"/>
    </row>
    <row r="409" spans="1:12" s="6" customFormat="1" x14ac:dyDescent="0.25">
      <c r="A409" s="26"/>
      <c r="B409" s="27"/>
      <c r="C409" s="27"/>
      <c r="D409" s="27"/>
      <c r="E409" s="33"/>
      <c r="F409" s="5"/>
      <c r="G409" s="34"/>
      <c r="H409" s="34"/>
      <c r="I409" s="34"/>
      <c r="J409" s="34"/>
      <c r="K409" s="34"/>
      <c r="L409" s="35"/>
    </row>
    <row r="410" spans="1:12" s="6" customFormat="1" x14ac:dyDescent="0.25">
      <c r="A410" s="26"/>
      <c r="B410" s="27"/>
      <c r="C410" s="27"/>
      <c r="D410" s="27"/>
      <c r="E410" s="33"/>
      <c r="F410" s="5"/>
      <c r="G410" s="34"/>
      <c r="H410" s="34"/>
      <c r="I410" s="34"/>
      <c r="J410" s="34"/>
      <c r="K410" s="34"/>
      <c r="L410" s="35"/>
    </row>
    <row r="411" spans="1:12" s="6" customFormat="1" x14ac:dyDescent="0.25">
      <c r="A411" s="26"/>
      <c r="B411" s="27"/>
      <c r="C411" s="27"/>
      <c r="D411" s="27"/>
      <c r="E411" s="33"/>
      <c r="F411" s="5"/>
      <c r="G411" s="34"/>
      <c r="H411" s="34"/>
      <c r="I411" s="34"/>
      <c r="J411" s="34"/>
      <c r="K411" s="34"/>
      <c r="L411" s="35"/>
    </row>
    <row r="412" spans="1:12" s="6" customFormat="1" x14ac:dyDescent="0.25">
      <c r="A412" s="26"/>
      <c r="B412" s="27"/>
      <c r="C412" s="27"/>
      <c r="D412" s="27"/>
      <c r="E412" s="33"/>
      <c r="F412" s="5"/>
      <c r="G412" s="34"/>
      <c r="H412" s="34"/>
      <c r="I412" s="34"/>
      <c r="J412" s="34"/>
      <c r="K412" s="34"/>
      <c r="L412" s="35"/>
    </row>
    <row r="413" spans="1:12" s="6" customFormat="1" x14ac:dyDescent="0.25">
      <c r="A413" s="26"/>
      <c r="B413" s="27"/>
      <c r="C413" s="27"/>
      <c r="D413" s="27"/>
      <c r="E413" s="33"/>
      <c r="F413" s="5"/>
      <c r="G413" s="34"/>
      <c r="H413" s="34"/>
      <c r="I413" s="34"/>
      <c r="J413" s="34"/>
      <c r="K413" s="34"/>
      <c r="L413" s="35"/>
    </row>
    <row r="414" spans="1:12" s="6" customFormat="1" x14ac:dyDescent="0.25">
      <c r="A414" s="26"/>
      <c r="B414" s="27"/>
      <c r="C414" s="27"/>
      <c r="D414" s="27"/>
      <c r="E414" s="33"/>
      <c r="F414" s="5"/>
      <c r="G414" s="34"/>
      <c r="H414" s="34"/>
      <c r="I414" s="34"/>
      <c r="J414" s="34"/>
      <c r="K414" s="34"/>
      <c r="L414" s="35"/>
    </row>
    <row r="415" spans="1:12" s="6" customFormat="1" x14ac:dyDescent="0.25">
      <c r="A415" s="26"/>
      <c r="B415" s="27"/>
      <c r="C415" s="27"/>
      <c r="D415" s="27"/>
      <c r="E415" s="33"/>
      <c r="F415" s="5"/>
      <c r="G415" s="34"/>
      <c r="H415" s="34"/>
      <c r="I415" s="34"/>
      <c r="J415" s="34"/>
      <c r="K415" s="34"/>
      <c r="L415" s="35"/>
    </row>
    <row r="416" spans="1:12" s="6" customFormat="1" x14ac:dyDescent="0.25">
      <c r="A416" s="26"/>
      <c r="B416" s="27"/>
      <c r="C416" s="27"/>
      <c r="D416" s="27"/>
      <c r="E416" s="33"/>
      <c r="F416" s="5"/>
      <c r="G416" s="34"/>
      <c r="H416" s="34"/>
      <c r="I416" s="34"/>
      <c r="J416" s="34"/>
      <c r="K416" s="34"/>
      <c r="L416" s="35"/>
    </row>
    <row r="417" spans="1:12" s="6" customFormat="1" x14ac:dyDescent="0.25">
      <c r="A417" s="26"/>
      <c r="B417" s="27"/>
      <c r="C417" s="27"/>
      <c r="D417" s="27"/>
      <c r="E417" s="33"/>
      <c r="F417" s="5"/>
      <c r="G417" s="34"/>
      <c r="H417" s="34"/>
      <c r="I417" s="34"/>
      <c r="J417" s="34"/>
      <c r="K417" s="34"/>
      <c r="L417" s="35"/>
    </row>
    <row r="418" spans="1:12" s="6" customFormat="1" x14ac:dyDescent="0.25">
      <c r="A418" s="26"/>
      <c r="B418" s="27"/>
      <c r="C418" s="27"/>
      <c r="D418" s="27"/>
      <c r="E418" s="33"/>
      <c r="F418" s="5"/>
      <c r="G418" s="34"/>
      <c r="H418" s="34"/>
      <c r="I418" s="34"/>
      <c r="J418" s="34"/>
      <c r="K418" s="34"/>
      <c r="L418" s="35"/>
    </row>
    <row r="419" spans="1:12" s="6" customFormat="1" x14ac:dyDescent="0.25">
      <c r="A419" s="26"/>
      <c r="B419" s="27"/>
      <c r="C419" s="27"/>
      <c r="D419" s="27"/>
      <c r="E419" s="33"/>
      <c r="F419" s="5"/>
      <c r="G419" s="34"/>
      <c r="H419" s="34"/>
      <c r="I419" s="34"/>
      <c r="J419" s="34"/>
      <c r="K419" s="34"/>
      <c r="L419" s="35"/>
    </row>
    <row r="420" spans="1:12" s="6" customFormat="1" x14ac:dyDescent="0.25">
      <c r="A420" s="26"/>
      <c r="B420" s="27"/>
      <c r="C420" s="27"/>
      <c r="D420" s="27"/>
      <c r="E420" s="33"/>
      <c r="F420" s="5"/>
      <c r="G420" s="34"/>
      <c r="H420" s="34"/>
      <c r="I420" s="34"/>
      <c r="J420" s="34"/>
      <c r="K420" s="34"/>
      <c r="L420" s="35"/>
    </row>
    <row r="421" spans="1:12" s="6" customFormat="1" x14ac:dyDescent="0.25">
      <c r="A421" s="26"/>
      <c r="B421" s="27"/>
      <c r="C421" s="27"/>
      <c r="D421" s="27"/>
      <c r="E421" s="33"/>
      <c r="F421" s="5"/>
      <c r="G421" s="34"/>
      <c r="H421" s="34"/>
      <c r="I421" s="34"/>
      <c r="J421" s="34"/>
      <c r="K421" s="34"/>
      <c r="L421" s="35"/>
    </row>
    <row r="422" spans="1:12" s="6" customFormat="1" x14ac:dyDescent="0.25">
      <c r="A422" s="26"/>
      <c r="B422" s="27"/>
      <c r="C422" s="27"/>
      <c r="D422" s="27"/>
      <c r="E422" s="33"/>
      <c r="F422" s="5"/>
      <c r="G422" s="34"/>
      <c r="H422" s="34"/>
      <c r="I422" s="34"/>
      <c r="J422" s="34"/>
      <c r="K422" s="34"/>
      <c r="L422" s="35"/>
    </row>
    <row r="423" spans="1:12" s="6" customFormat="1" x14ac:dyDescent="0.25">
      <c r="A423" s="26"/>
      <c r="B423" s="27"/>
      <c r="C423" s="27"/>
      <c r="D423" s="27"/>
      <c r="E423" s="33"/>
      <c r="F423" s="5"/>
      <c r="G423" s="34"/>
      <c r="H423" s="34"/>
      <c r="I423" s="34"/>
      <c r="J423" s="34"/>
      <c r="K423" s="34"/>
      <c r="L423" s="35"/>
    </row>
    <row r="424" spans="1:12" s="6" customFormat="1" x14ac:dyDescent="0.25">
      <c r="A424" s="26"/>
      <c r="B424" s="27"/>
      <c r="C424" s="27"/>
      <c r="D424" s="27"/>
      <c r="E424" s="33"/>
      <c r="F424" s="5"/>
      <c r="G424" s="34"/>
      <c r="H424" s="34"/>
      <c r="I424" s="34"/>
      <c r="J424" s="34"/>
      <c r="K424" s="34"/>
      <c r="L424" s="35"/>
    </row>
    <row r="425" spans="1:12" s="6" customFormat="1" x14ac:dyDescent="0.25">
      <c r="A425" s="26"/>
      <c r="B425" s="27"/>
      <c r="C425" s="27"/>
      <c r="D425" s="27"/>
      <c r="E425" s="33"/>
      <c r="F425" s="5"/>
      <c r="G425" s="34"/>
      <c r="H425" s="34"/>
      <c r="I425" s="34"/>
      <c r="J425" s="34"/>
      <c r="K425" s="34"/>
      <c r="L425" s="35"/>
    </row>
    <row r="426" spans="1:12" s="6" customFormat="1" x14ac:dyDescent="0.25">
      <c r="A426" s="26"/>
      <c r="B426" s="27"/>
      <c r="C426" s="27"/>
      <c r="D426" s="27"/>
      <c r="E426" s="33"/>
      <c r="F426" s="5"/>
      <c r="G426" s="34"/>
      <c r="H426" s="34"/>
      <c r="I426" s="34"/>
      <c r="J426" s="34"/>
      <c r="K426" s="34"/>
      <c r="L426" s="35"/>
    </row>
    <row r="427" spans="1:12" s="6" customFormat="1" x14ac:dyDescent="0.25">
      <c r="A427" s="26"/>
      <c r="B427" s="27"/>
      <c r="C427" s="27"/>
      <c r="D427" s="27"/>
      <c r="E427" s="33"/>
      <c r="F427" s="5"/>
      <c r="G427" s="34"/>
      <c r="H427" s="34"/>
      <c r="I427" s="34"/>
      <c r="J427" s="34"/>
      <c r="K427" s="34"/>
      <c r="L427" s="35"/>
    </row>
    <row r="428" spans="1:12" s="6" customFormat="1" x14ac:dyDescent="0.25">
      <c r="A428" s="26"/>
      <c r="B428" s="27"/>
      <c r="C428" s="27"/>
      <c r="D428" s="27"/>
      <c r="E428" s="33"/>
      <c r="F428" s="5"/>
      <c r="G428" s="34"/>
      <c r="H428" s="34"/>
      <c r="I428" s="34"/>
      <c r="J428" s="34"/>
      <c r="K428" s="34"/>
      <c r="L428" s="35"/>
    </row>
    <row r="429" spans="1:12" s="6" customFormat="1" x14ac:dyDescent="0.25">
      <c r="A429" s="26"/>
      <c r="B429" s="27"/>
      <c r="C429" s="27"/>
      <c r="D429" s="27"/>
      <c r="E429" s="33"/>
      <c r="F429" s="5"/>
      <c r="G429" s="34"/>
      <c r="H429" s="34"/>
      <c r="I429" s="34"/>
      <c r="J429" s="34"/>
      <c r="K429" s="34"/>
      <c r="L429" s="35"/>
    </row>
    <row r="430" spans="1:12" s="6" customFormat="1" x14ac:dyDescent="0.25">
      <c r="A430" s="26"/>
      <c r="B430" s="27"/>
      <c r="C430" s="27"/>
      <c r="D430" s="27"/>
      <c r="E430" s="33"/>
      <c r="F430" s="5"/>
      <c r="G430" s="34"/>
      <c r="H430" s="34"/>
      <c r="I430" s="34"/>
      <c r="J430" s="34"/>
      <c r="K430" s="34"/>
      <c r="L430" s="35"/>
    </row>
    <row r="431" spans="1:12" s="6" customFormat="1" x14ac:dyDescent="0.25">
      <c r="A431" s="26"/>
      <c r="B431" s="27"/>
      <c r="C431" s="27"/>
      <c r="D431" s="27"/>
      <c r="E431" s="33"/>
      <c r="F431" s="5"/>
      <c r="G431" s="34"/>
      <c r="H431" s="34"/>
      <c r="I431" s="34"/>
      <c r="J431" s="34"/>
      <c r="K431" s="34"/>
      <c r="L431" s="35"/>
    </row>
    <row r="432" spans="1:12" s="6" customFormat="1" x14ac:dyDescent="0.25">
      <c r="A432" s="26"/>
      <c r="B432" s="27"/>
      <c r="C432" s="27"/>
      <c r="D432" s="27"/>
      <c r="E432" s="33"/>
      <c r="F432" s="5"/>
      <c r="G432" s="34"/>
      <c r="H432" s="34"/>
      <c r="I432" s="34"/>
      <c r="J432" s="34"/>
      <c r="K432" s="34"/>
      <c r="L432" s="35"/>
    </row>
    <row r="433" spans="1:12" s="6" customFormat="1" x14ac:dyDescent="0.25">
      <c r="A433" s="26"/>
      <c r="B433" s="27"/>
      <c r="C433" s="27"/>
      <c r="D433" s="27"/>
      <c r="E433" s="33"/>
      <c r="F433" s="5"/>
      <c r="G433" s="34"/>
      <c r="H433" s="34"/>
      <c r="I433" s="34"/>
      <c r="J433" s="34"/>
      <c r="K433" s="34"/>
      <c r="L433" s="35"/>
    </row>
    <row r="434" spans="1:12" s="6" customFormat="1" x14ac:dyDescent="0.25">
      <c r="A434" s="26"/>
      <c r="B434" s="27"/>
      <c r="C434" s="27"/>
      <c r="D434" s="27"/>
      <c r="E434" s="33"/>
      <c r="F434" s="5"/>
      <c r="G434" s="34"/>
      <c r="H434" s="34"/>
      <c r="I434" s="34"/>
      <c r="J434" s="34"/>
      <c r="K434" s="34"/>
      <c r="L434" s="35"/>
    </row>
    <row r="435" spans="1:12" s="6" customFormat="1" x14ac:dyDescent="0.25">
      <c r="A435" s="26"/>
      <c r="B435" s="27"/>
      <c r="C435" s="27"/>
      <c r="D435" s="27"/>
      <c r="E435" s="33"/>
      <c r="F435" s="5"/>
      <c r="G435" s="34"/>
      <c r="H435" s="34"/>
      <c r="I435" s="34"/>
      <c r="J435" s="34"/>
      <c r="K435" s="34"/>
      <c r="L435" s="35"/>
    </row>
    <row r="436" spans="1:12" s="6" customFormat="1" x14ac:dyDescent="0.25">
      <c r="A436" s="26"/>
      <c r="B436" s="27"/>
      <c r="C436" s="27"/>
      <c r="D436" s="27"/>
      <c r="E436" s="33"/>
      <c r="F436" s="5"/>
      <c r="G436" s="34"/>
      <c r="H436" s="34"/>
      <c r="I436" s="34"/>
      <c r="J436" s="34"/>
      <c r="K436" s="34"/>
      <c r="L436" s="35"/>
    </row>
    <row r="437" spans="1:12" s="6" customFormat="1" x14ac:dyDescent="0.25">
      <c r="A437" s="26"/>
      <c r="B437" s="27"/>
      <c r="C437" s="27"/>
      <c r="D437" s="27"/>
      <c r="E437" s="33"/>
      <c r="F437" s="5"/>
      <c r="G437" s="34"/>
      <c r="H437" s="34"/>
      <c r="I437" s="34"/>
      <c r="J437" s="34"/>
      <c r="K437" s="34"/>
      <c r="L437" s="35"/>
    </row>
    <row r="438" spans="1:12" s="6" customFormat="1" x14ac:dyDescent="0.25">
      <c r="A438" s="26"/>
      <c r="B438" s="27"/>
      <c r="C438" s="27"/>
      <c r="D438" s="27"/>
      <c r="E438" s="33"/>
      <c r="F438" s="5"/>
      <c r="G438" s="34"/>
      <c r="H438" s="34"/>
      <c r="I438" s="34"/>
      <c r="J438" s="34"/>
      <c r="K438" s="34"/>
      <c r="L438" s="35"/>
    </row>
    <row r="439" spans="1:12" s="6" customFormat="1" x14ac:dyDescent="0.25">
      <c r="A439" s="26"/>
      <c r="B439" s="27"/>
      <c r="C439" s="27"/>
      <c r="D439" s="27"/>
      <c r="E439" s="33"/>
      <c r="F439" s="5"/>
      <c r="G439" s="34"/>
      <c r="H439" s="34"/>
      <c r="I439" s="34"/>
      <c r="J439" s="34"/>
      <c r="K439" s="34"/>
      <c r="L439" s="35"/>
    </row>
    <row r="440" spans="1:12" s="6" customFormat="1" x14ac:dyDescent="0.25">
      <c r="A440" s="26"/>
      <c r="B440" s="27"/>
      <c r="C440" s="27"/>
      <c r="D440" s="27"/>
      <c r="E440" s="33"/>
      <c r="F440" s="5"/>
      <c r="G440" s="34"/>
      <c r="H440" s="34"/>
      <c r="I440" s="34"/>
      <c r="J440" s="34"/>
      <c r="K440" s="34"/>
      <c r="L440" s="35"/>
    </row>
    <row r="441" spans="1:12" s="6" customFormat="1" x14ac:dyDescent="0.25">
      <c r="A441" s="26"/>
      <c r="B441" s="27"/>
      <c r="C441" s="27"/>
      <c r="D441" s="27"/>
      <c r="E441" s="33"/>
      <c r="F441" s="5"/>
      <c r="G441" s="34"/>
      <c r="H441" s="34"/>
      <c r="I441" s="34"/>
      <c r="J441" s="34"/>
      <c r="K441" s="34"/>
      <c r="L441" s="35"/>
    </row>
    <row r="442" spans="1:12" s="6" customFormat="1" x14ac:dyDescent="0.25">
      <c r="A442" s="26"/>
      <c r="B442" s="27"/>
      <c r="C442" s="27"/>
      <c r="D442" s="27"/>
      <c r="E442" s="33"/>
      <c r="F442" s="5"/>
      <c r="G442" s="34"/>
      <c r="H442" s="34"/>
      <c r="I442" s="34"/>
      <c r="J442" s="34"/>
      <c r="K442" s="34"/>
      <c r="L442" s="35"/>
    </row>
    <row r="443" spans="1:12" s="6" customFormat="1" x14ac:dyDescent="0.25">
      <c r="A443" s="26"/>
      <c r="B443" s="27"/>
      <c r="C443" s="27"/>
      <c r="D443" s="27"/>
      <c r="E443" s="33"/>
      <c r="F443" s="5"/>
      <c r="G443" s="34"/>
      <c r="H443" s="34"/>
      <c r="I443" s="34"/>
      <c r="J443" s="34"/>
      <c r="K443" s="34"/>
      <c r="L443" s="35"/>
    </row>
    <row r="444" spans="1:12" s="6" customFormat="1" x14ac:dyDescent="0.25">
      <c r="A444" s="26"/>
      <c r="B444" s="27"/>
      <c r="C444" s="27"/>
      <c r="D444" s="27"/>
      <c r="E444" s="33"/>
      <c r="F444" s="5"/>
      <c r="G444" s="34"/>
      <c r="H444" s="34"/>
      <c r="I444" s="34"/>
      <c r="J444" s="34"/>
      <c r="K444" s="34"/>
      <c r="L444" s="35"/>
    </row>
    <row r="445" spans="1:12" s="6" customFormat="1" x14ac:dyDescent="0.25">
      <c r="A445" s="26"/>
      <c r="B445" s="27"/>
      <c r="C445" s="27"/>
      <c r="D445" s="27"/>
      <c r="E445" s="33"/>
      <c r="F445" s="5"/>
      <c r="G445" s="34"/>
      <c r="H445" s="34"/>
      <c r="I445" s="34"/>
      <c r="J445" s="34"/>
      <c r="K445" s="34"/>
      <c r="L445" s="35"/>
    </row>
    <row r="446" spans="1:12" s="6" customFormat="1" x14ac:dyDescent="0.25">
      <c r="A446" s="26"/>
      <c r="B446" s="27"/>
      <c r="C446" s="27"/>
      <c r="D446" s="27"/>
      <c r="E446" s="33"/>
      <c r="F446" s="5"/>
      <c r="G446" s="34"/>
      <c r="H446" s="34"/>
      <c r="I446" s="34"/>
      <c r="J446" s="34"/>
      <c r="K446" s="34"/>
      <c r="L446" s="35"/>
    </row>
    <row r="447" spans="1:12" s="6" customFormat="1" x14ac:dyDescent="0.25">
      <c r="A447" s="26"/>
      <c r="B447" s="27"/>
      <c r="C447" s="27"/>
      <c r="D447" s="27"/>
      <c r="E447" s="33"/>
      <c r="F447" s="5"/>
      <c r="G447" s="34"/>
      <c r="H447" s="34"/>
      <c r="I447" s="34"/>
      <c r="J447" s="34"/>
      <c r="K447" s="34"/>
      <c r="L447" s="35"/>
    </row>
    <row r="448" spans="1:12" s="6" customFormat="1" x14ac:dyDescent="0.25">
      <c r="A448" s="26"/>
      <c r="B448" s="27"/>
      <c r="C448" s="27"/>
      <c r="D448" s="27"/>
      <c r="E448" s="33"/>
      <c r="F448" s="5"/>
      <c r="G448" s="34"/>
      <c r="H448" s="34"/>
      <c r="I448" s="34"/>
      <c r="J448" s="34"/>
      <c r="K448" s="34"/>
      <c r="L448" s="35"/>
    </row>
    <row r="449" spans="1:12" s="6" customFormat="1" x14ac:dyDescent="0.25">
      <c r="A449" s="26"/>
      <c r="B449" s="27"/>
      <c r="C449" s="27"/>
      <c r="D449" s="27"/>
      <c r="E449" s="33"/>
      <c r="F449" s="5"/>
      <c r="G449" s="34"/>
      <c r="H449" s="34"/>
      <c r="I449" s="34"/>
      <c r="J449" s="34"/>
      <c r="K449" s="34"/>
      <c r="L449" s="35"/>
    </row>
    <row r="450" spans="1:12" s="6" customFormat="1" x14ac:dyDescent="0.25">
      <c r="A450" s="26"/>
      <c r="B450" s="27"/>
      <c r="C450" s="27"/>
      <c r="D450" s="27"/>
      <c r="E450" s="33"/>
      <c r="F450" s="5"/>
      <c r="G450" s="34"/>
      <c r="H450" s="34"/>
      <c r="I450" s="34"/>
      <c r="J450" s="34"/>
      <c r="K450" s="34"/>
      <c r="L450" s="35"/>
    </row>
    <row r="451" spans="1:12" s="6" customFormat="1" x14ac:dyDescent="0.25">
      <c r="A451" s="26"/>
      <c r="B451" s="27"/>
      <c r="C451" s="27"/>
      <c r="D451" s="27"/>
      <c r="E451" s="33"/>
      <c r="F451" s="5"/>
      <c r="G451" s="34"/>
      <c r="H451" s="34"/>
      <c r="I451" s="34"/>
      <c r="J451" s="34"/>
      <c r="K451" s="34"/>
      <c r="L451" s="35"/>
    </row>
    <row r="452" spans="1:12" s="6" customFormat="1" x14ac:dyDescent="0.25">
      <c r="A452" s="26"/>
      <c r="B452" s="27"/>
      <c r="C452" s="27"/>
      <c r="D452" s="27"/>
      <c r="E452" s="33"/>
      <c r="F452" s="5"/>
      <c r="G452" s="34"/>
      <c r="H452" s="34"/>
      <c r="I452" s="34"/>
      <c r="J452" s="34"/>
      <c r="K452" s="34"/>
      <c r="L452" s="35"/>
    </row>
    <row r="453" spans="1:12" s="6" customFormat="1" x14ac:dyDescent="0.25">
      <c r="A453" s="26"/>
      <c r="B453" s="27"/>
      <c r="C453" s="27"/>
      <c r="D453" s="27"/>
      <c r="E453" s="33"/>
      <c r="F453" s="5"/>
      <c r="G453" s="34"/>
      <c r="H453" s="34"/>
      <c r="I453" s="34"/>
      <c r="J453" s="34"/>
      <c r="K453" s="34"/>
      <c r="L453" s="35"/>
    </row>
    <row r="454" spans="1:12" s="6" customFormat="1" x14ac:dyDescent="0.25">
      <c r="A454" s="26"/>
      <c r="B454" s="27"/>
      <c r="C454" s="27"/>
      <c r="D454" s="27"/>
      <c r="E454" s="33"/>
      <c r="F454" s="5"/>
      <c r="G454" s="34"/>
      <c r="H454" s="34"/>
      <c r="I454" s="34"/>
      <c r="J454" s="34"/>
      <c r="K454" s="34"/>
      <c r="L454" s="35"/>
    </row>
    <row r="455" spans="1:12" s="6" customFormat="1" x14ac:dyDescent="0.25">
      <c r="A455" s="26"/>
      <c r="B455" s="27"/>
      <c r="C455" s="27"/>
      <c r="D455" s="27"/>
      <c r="E455" s="33"/>
      <c r="F455" s="5"/>
      <c r="G455" s="34"/>
      <c r="H455" s="34"/>
      <c r="I455" s="34"/>
      <c r="J455" s="34"/>
      <c r="K455" s="34"/>
      <c r="L455" s="35"/>
    </row>
    <row r="456" spans="1:12" s="6" customFormat="1" x14ac:dyDescent="0.25">
      <c r="A456" s="26"/>
      <c r="B456" s="27"/>
      <c r="C456" s="27"/>
      <c r="D456" s="27"/>
      <c r="E456" s="33"/>
      <c r="F456" s="5"/>
      <c r="G456" s="34"/>
      <c r="H456" s="34"/>
      <c r="I456" s="34"/>
      <c r="J456" s="34"/>
      <c r="K456" s="34"/>
      <c r="L456" s="35"/>
    </row>
    <row r="457" spans="1:12" s="6" customFormat="1" x14ac:dyDescent="0.25">
      <c r="A457" s="26"/>
      <c r="B457" s="27"/>
      <c r="C457" s="27"/>
      <c r="D457" s="27"/>
      <c r="E457" s="33"/>
      <c r="F457" s="5"/>
      <c r="G457" s="34"/>
      <c r="H457" s="34"/>
      <c r="I457" s="34"/>
      <c r="J457" s="34"/>
      <c r="K457" s="34"/>
      <c r="L457" s="35"/>
    </row>
    <row r="458" spans="1:12" s="6" customFormat="1" x14ac:dyDescent="0.25">
      <c r="A458" s="26"/>
      <c r="B458" s="27"/>
      <c r="C458" s="27"/>
      <c r="D458" s="27"/>
      <c r="E458" s="33"/>
      <c r="F458" s="5"/>
      <c r="G458" s="34"/>
      <c r="H458" s="34"/>
      <c r="I458" s="34"/>
      <c r="J458" s="34"/>
      <c r="K458" s="34"/>
      <c r="L458" s="35"/>
    </row>
    <row r="459" spans="1:12" s="6" customFormat="1" x14ac:dyDescent="0.25">
      <c r="A459" s="26"/>
      <c r="B459" s="27"/>
      <c r="C459" s="27"/>
      <c r="D459" s="27"/>
      <c r="E459" s="33"/>
      <c r="F459" s="5"/>
      <c r="G459" s="34"/>
      <c r="H459" s="34"/>
      <c r="I459" s="34"/>
      <c r="J459" s="34"/>
      <c r="K459" s="34"/>
      <c r="L459" s="35"/>
    </row>
    <row r="460" spans="1:12" s="6" customFormat="1" x14ac:dyDescent="0.25">
      <c r="A460" s="26"/>
      <c r="B460" s="27"/>
      <c r="C460" s="27"/>
      <c r="D460" s="27"/>
      <c r="E460" s="33"/>
      <c r="F460" s="5"/>
      <c r="G460" s="34"/>
      <c r="H460" s="34"/>
      <c r="I460" s="34"/>
      <c r="J460" s="34"/>
      <c r="K460" s="34"/>
      <c r="L460" s="35"/>
    </row>
    <row r="461" spans="1:12" s="6" customFormat="1" x14ac:dyDescent="0.25">
      <c r="A461" s="26"/>
      <c r="B461" s="27"/>
      <c r="C461" s="27"/>
      <c r="D461" s="27"/>
      <c r="E461" s="33"/>
      <c r="F461" s="5"/>
      <c r="G461" s="34"/>
      <c r="H461" s="34"/>
      <c r="I461" s="34"/>
      <c r="J461" s="34"/>
      <c r="K461" s="34"/>
      <c r="L461" s="35"/>
    </row>
    <row r="462" spans="1:12" s="6" customFormat="1" x14ac:dyDescent="0.25">
      <c r="A462" s="26"/>
      <c r="B462" s="27"/>
      <c r="C462" s="27"/>
      <c r="D462" s="27"/>
      <c r="E462" s="33"/>
      <c r="F462" s="5"/>
      <c r="G462" s="34"/>
      <c r="H462" s="34"/>
      <c r="I462" s="34"/>
      <c r="J462" s="34"/>
      <c r="K462" s="34"/>
      <c r="L462" s="35"/>
    </row>
    <row r="463" spans="1:12" s="6" customFormat="1" x14ac:dyDescent="0.25">
      <c r="A463" s="26"/>
      <c r="B463" s="27"/>
      <c r="C463" s="27"/>
      <c r="D463" s="27"/>
      <c r="E463" s="33"/>
      <c r="F463" s="5"/>
      <c r="G463" s="34"/>
      <c r="H463" s="34"/>
      <c r="I463" s="34"/>
      <c r="J463" s="34"/>
      <c r="K463" s="34"/>
      <c r="L463" s="35"/>
    </row>
    <row r="464" spans="1:12" s="6" customFormat="1" x14ac:dyDescent="0.25">
      <c r="A464" s="26"/>
      <c r="B464" s="27"/>
      <c r="C464" s="27"/>
      <c r="D464" s="27"/>
      <c r="E464" s="33"/>
      <c r="F464" s="5"/>
      <c r="G464" s="34"/>
      <c r="H464" s="34"/>
      <c r="I464" s="34"/>
      <c r="J464" s="34"/>
      <c r="K464" s="34"/>
      <c r="L464" s="35"/>
    </row>
    <row r="465" spans="1:12" s="6" customFormat="1" x14ac:dyDescent="0.25">
      <c r="A465" s="26"/>
      <c r="B465" s="27"/>
      <c r="C465" s="27"/>
      <c r="D465" s="27"/>
      <c r="E465" s="33"/>
      <c r="F465" s="5"/>
      <c r="G465" s="34"/>
      <c r="H465" s="34"/>
      <c r="I465" s="34"/>
      <c r="J465" s="34"/>
      <c r="K465" s="34"/>
      <c r="L465" s="35"/>
    </row>
    <row r="466" spans="1:12" s="6" customFormat="1" x14ac:dyDescent="0.25">
      <c r="A466" s="26"/>
      <c r="B466" s="27"/>
      <c r="C466" s="27"/>
      <c r="D466" s="27"/>
      <c r="E466" s="33"/>
      <c r="F466" s="5"/>
      <c r="G466" s="34"/>
      <c r="H466" s="34"/>
      <c r="I466" s="34"/>
      <c r="J466" s="34"/>
      <c r="K466" s="34"/>
      <c r="L466" s="35"/>
    </row>
    <row r="467" spans="1:12" s="6" customFormat="1" x14ac:dyDescent="0.25">
      <c r="A467" s="26"/>
      <c r="B467" s="27"/>
      <c r="C467" s="27"/>
      <c r="D467" s="27"/>
      <c r="E467" s="33"/>
      <c r="F467" s="5"/>
      <c r="G467" s="34"/>
      <c r="H467" s="34"/>
      <c r="I467" s="34"/>
      <c r="J467" s="34"/>
      <c r="K467" s="34"/>
      <c r="L467" s="35"/>
    </row>
    <row r="468" spans="1:12" s="6" customFormat="1" x14ac:dyDescent="0.25">
      <c r="A468" s="26"/>
      <c r="B468" s="27"/>
      <c r="C468" s="27"/>
      <c r="D468" s="27"/>
      <c r="E468" s="33"/>
      <c r="F468" s="5"/>
      <c r="G468" s="34"/>
      <c r="H468" s="34"/>
      <c r="I468" s="34"/>
      <c r="J468" s="34"/>
      <c r="K468" s="34"/>
      <c r="L468" s="35"/>
    </row>
    <row r="469" spans="1:12" s="6" customFormat="1" x14ac:dyDescent="0.25">
      <c r="A469" s="26"/>
      <c r="B469" s="27"/>
      <c r="C469" s="27"/>
      <c r="D469" s="27"/>
      <c r="E469" s="33"/>
      <c r="F469" s="5"/>
      <c r="G469" s="34"/>
      <c r="H469" s="34"/>
      <c r="I469" s="34"/>
      <c r="J469" s="34"/>
      <c r="K469" s="34"/>
      <c r="L469" s="35"/>
    </row>
    <row r="470" spans="1:12" s="6" customFormat="1" x14ac:dyDescent="0.25">
      <c r="A470" s="26"/>
      <c r="B470" s="27"/>
      <c r="C470" s="27"/>
      <c r="D470" s="27"/>
      <c r="E470" s="33"/>
      <c r="F470" s="5"/>
      <c r="G470" s="34"/>
      <c r="H470" s="34"/>
      <c r="I470" s="34"/>
      <c r="J470" s="34"/>
      <c r="K470" s="34"/>
      <c r="L470" s="35"/>
    </row>
    <row r="471" spans="1:12" s="6" customFormat="1" x14ac:dyDescent="0.25">
      <c r="A471" s="26"/>
      <c r="B471" s="27"/>
      <c r="C471" s="27"/>
      <c r="D471" s="27"/>
      <c r="E471" s="33"/>
      <c r="F471" s="5"/>
      <c r="G471" s="34"/>
      <c r="H471" s="34"/>
      <c r="I471" s="34"/>
      <c r="J471" s="34"/>
      <c r="K471" s="34"/>
      <c r="L471" s="35"/>
    </row>
    <row r="472" spans="1:12" s="6" customFormat="1" x14ac:dyDescent="0.25">
      <c r="A472" s="26"/>
      <c r="B472" s="27"/>
      <c r="C472" s="27"/>
      <c r="D472" s="27"/>
      <c r="E472" s="33"/>
      <c r="F472" s="5"/>
      <c r="G472" s="34"/>
      <c r="H472" s="34"/>
      <c r="I472" s="34"/>
      <c r="J472" s="34"/>
      <c r="K472" s="34"/>
      <c r="L472" s="35"/>
    </row>
    <row r="473" spans="1:12" s="6" customFormat="1" x14ac:dyDescent="0.25">
      <c r="A473" s="26"/>
      <c r="B473" s="27"/>
      <c r="C473" s="27"/>
      <c r="D473" s="27"/>
      <c r="E473" s="33"/>
      <c r="F473" s="5"/>
      <c r="G473" s="34"/>
      <c r="H473" s="34"/>
      <c r="I473" s="34"/>
      <c r="J473" s="34"/>
      <c r="K473" s="34"/>
      <c r="L473" s="35"/>
    </row>
    <row r="474" spans="1:12" s="6" customFormat="1" x14ac:dyDescent="0.25">
      <c r="A474" s="26"/>
      <c r="B474" s="27"/>
      <c r="C474" s="27"/>
      <c r="D474" s="27"/>
      <c r="E474" s="33"/>
      <c r="F474" s="5"/>
      <c r="G474" s="34"/>
      <c r="H474" s="34"/>
      <c r="I474" s="34"/>
      <c r="J474" s="34"/>
      <c r="K474" s="34"/>
      <c r="L474" s="35"/>
    </row>
    <row r="475" spans="1:12" s="6" customFormat="1" x14ac:dyDescent="0.25">
      <c r="A475" s="26"/>
      <c r="B475" s="27"/>
      <c r="C475" s="27"/>
      <c r="D475" s="27"/>
      <c r="E475" s="33"/>
      <c r="F475" s="5"/>
      <c r="G475" s="34"/>
      <c r="H475" s="34"/>
      <c r="I475" s="34"/>
      <c r="J475" s="34"/>
      <c r="K475" s="34"/>
      <c r="L475" s="35"/>
    </row>
    <row r="476" spans="1:12" s="6" customFormat="1" x14ac:dyDescent="0.25">
      <c r="A476" s="26"/>
      <c r="B476" s="27"/>
      <c r="C476" s="27"/>
      <c r="D476" s="27"/>
      <c r="E476" s="33"/>
      <c r="F476" s="5"/>
      <c r="G476" s="34"/>
      <c r="H476" s="34"/>
      <c r="I476" s="34"/>
      <c r="J476" s="34"/>
      <c r="K476" s="34"/>
      <c r="L476" s="35"/>
    </row>
    <row r="477" spans="1:12" s="6" customFormat="1" x14ac:dyDescent="0.25">
      <c r="A477" s="26"/>
      <c r="B477" s="27"/>
      <c r="C477" s="27"/>
      <c r="D477" s="27"/>
      <c r="E477" s="33"/>
      <c r="F477" s="5"/>
      <c r="G477" s="34"/>
      <c r="H477" s="34"/>
      <c r="I477" s="34"/>
      <c r="J477" s="34"/>
      <c r="K477" s="34"/>
      <c r="L477" s="35"/>
    </row>
    <row r="478" spans="1:12" s="6" customFormat="1" x14ac:dyDescent="0.25">
      <c r="A478" s="26"/>
      <c r="B478" s="27"/>
      <c r="C478" s="27"/>
      <c r="D478" s="27"/>
      <c r="E478" s="33"/>
      <c r="F478" s="5"/>
      <c r="G478" s="34"/>
      <c r="H478" s="34"/>
      <c r="I478" s="34"/>
      <c r="J478" s="34"/>
      <c r="K478" s="34"/>
      <c r="L478" s="35"/>
    </row>
    <row r="479" spans="1:12" s="6" customFormat="1" x14ac:dyDescent="0.25">
      <c r="A479" s="26"/>
      <c r="B479" s="27"/>
      <c r="C479" s="27"/>
      <c r="D479" s="27"/>
      <c r="E479" s="33"/>
      <c r="F479" s="5"/>
      <c r="G479" s="34"/>
      <c r="H479" s="34"/>
      <c r="I479" s="34"/>
      <c r="J479" s="34"/>
      <c r="K479" s="34"/>
      <c r="L479" s="35"/>
    </row>
    <row r="480" spans="1:12" s="6" customFormat="1" x14ac:dyDescent="0.25">
      <c r="A480" s="26"/>
      <c r="B480" s="27"/>
      <c r="C480" s="27"/>
      <c r="D480" s="27"/>
      <c r="E480" s="33"/>
      <c r="F480" s="5"/>
      <c r="G480" s="34"/>
      <c r="H480" s="34"/>
      <c r="I480" s="34"/>
      <c r="J480" s="34"/>
      <c r="K480" s="34"/>
      <c r="L480" s="35"/>
    </row>
    <row r="481" spans="1:12" s="6" customFormat="1" x14ac:dyDescent="0.25">
      <c r="A481" s="26"/>
      <c r="B481" s="27"/>
      <c r="C481" s="27"/>
      <c r="D481" s="27"/>
      <c r="E481" s="33"/>
      <c r="F481" s="5"/>
      <c r="G481" s="34"/>
      <c r="H481" s="34"/>
      <c r="I481" s="34"/>
      <c r="J481" s="34"/>
      <c r="K481" s="34"/>
      <c r="L481" s="35"/>
    </row>
    <row r="482" spans="1:12" s="6" customFormat="1" x14ac:dyDescent="0.25">
      <c r="A482" s="26"/>
      <c r="B482" s="27"/>
      <c r="C482" s="27"/>
      <c r="D482" s="27"/>
      <c r="E482" s="33"/>
      <c r="F482" s="5"/>
      <c r="G482" s="34"/>
      <c r="H482" s="34"/>
      <c r="I482" s="34"/>
      <c r="J482" s="34"/>
      <c r="K482" s="34"/>
      <c r="L482" s="35"/>
    </row>
    <row r="483" spans="1:12" s="6" customFormat="1" x14ac:dyDescent="0.25">
      <c r="A483" s="26"/>
      <c r="B483" s="27"/>
      <c r="C483" s="27"/>
      <c r="D483" s="27"/>
      <c r="E483" s="33"/>
      <c r="F483" s="5"/>
      <c r="G483" s="34"/>
      <c r="H483" s="34"/>
      <c r="I483" s="34"/>
      <c r="J483" s="34"/>
      <c r="K483" s="34"/>
      <c r="L483" s="35"/>
    </row>
    <row r="484" spans="1:12" s="6" customFormat="1" x14ac:dyDescent="0.25">
      <c r="A484" s="26"/>
      <c r="B484" s="27"/>
      <c r="C484" s="27"/>
      <c r="D484" s="27"/>
      <c r="E484" s="33"/>
      <c r="F484" s="5"/>
      <c r="G484" s="34"/>
      <c r="H484" s="34"/>
      <c r="I484" s="34"/>
      <c r="J484" s="34"/>
      <c r="K484" s="34"/>
      <c r="L484" s="35"/>
    </row>
    <row r="485" spans="1:12" s="6" customFormat="1" x14ac:dyDescent="0.25">
      <c r="A485" s="26"/>
      <c r="B485" s="27"/>
      <c r="C485" s="27"/>
      <c r="D485" s="27"/>
      <c r="E485" s="33"/>
      <c r="F485" s="5"/>
      <c r="G485" s="34"/>
      <c r="H485" s="34"/>
      <c r="I485" s="34"/>
      <c r="J485" s="34"/>
      <c r="K485" s="34"/>
      <c r="L485" s="35"/>
    </row>
    <row r="486" spans="1:12" s="6" customFormat="1" x14ac:dyDescent="0.25">
      <c r="A486" s="26"/>
      <c r="B486" s="27"/>
      <c r="C486" s="27"/>
      <c r="D486" s="27"/>
      <c r="E486" s="33"/>
      <c r="F486" s="5"/>
      <c r="G486" s="34"/>
      <c r="H486" s="34"/>
      <c r="I486" s="34"/>
      <c r="J486" s="34"/>
      <c r="K486" s="34"/>
      <c r="L486" s="35"/>
    </row>
    <row r="487" spans="1:12" s="6" customFormat="1" x14ac:dyDescent="0.25">
      <c r="A487" s="26"/>
      <c r="B487" s="27"/>
      <c r="C487" s="27"/>
      <c r="D487" s="27"/>
      <c r="E487" s="33"/>
      <c r="F487" s="5"/>
      <c r="G487" s="34"/>
      <c r="H487" s="34"/>
      <c r="I487" s="34"/>
      <c r="J487" s="34"/>
      <c r="K487" s="34"/>
      <c r="L487" s="35"/>
    </row>
    <row r="488" spans="1:12" s="6" customFormat="1" x14ac:dyDescent="0.25">
      <c r="A488" s="26"/>
      <c r="B488" s="27"/>
      <c r="C488" s="27"/>
      <c r="D488" s="27"/>
      <c r="E488" s="33"/>
      <c r="F488" s="5"/>
      <c r="G488" s="34"/>
      <c r="H488" s="34"/>
      <c r="I488" s="34"/>
      <c r="J488" s="34"/>
      <c r="K488" s="34"/>
      <c r="L488" s="35"/>
    </row>
    <row r="489" spans="1:12" s="6" customFormat="1" x14ac:dyDescent="0.25">
      <c r="A489" s="26"/>
      <c r="B489" s="27"/>
      <c r="C489" s="27"/>
      <c r="D489" s="27"/>
      <c r="E489" s="33"/>
      <c r="F489" s="5"/>
      <c r="G489" s="34"/>
      <c r="H489" s="34"/>
      <c r="I489" s="34"/>
      <c r="J489" s="34"/>
      <c r="K489" s="34"/>
      <c r="L489" s="35"/>
    </row>
    <row r="490" spans="1:12" s="6" customFormat="1" x14ac:dyDescent="0.25">
      <c r="A490" s="26"/>
      <c r="B490" s="27"/>
      <c r="C490" s="27"/>
      <c r="D490" s="27"/>
      <c r="E490" s="33"/>
      <c r="F490" s="5"/>
      <c r="G490" s="34"/>
      <c r="H490" s="34"/>
      <c r="I490" s="34"/>
      <c r="J490" s="34"/>
      <c r="K490" s="34"/>
      <c r="L490" s="35"/>
    </row>
    <row r="491" spans="1:12" s="6" customFormat="1" x14ac:dyDescent="0.25">
      <c r="A491" s="26"/>
      <c r="B491" s="27"/>
      <c r="C491" s="27"/>
      <c r="D491" s="27"/>
      <c r="E491" s="33"/>
      <c r="F491" s="5"/>
      <c r="G491" s="34"/>
      <c r="H491" s="34"/>
      <c r="I491" s="34"/>
      <c r="J491" s="34"/>
      <c r="K491" s="34"/>
      <c r="L491" s="35"/>
    </row>
    <row r="492" spans="1:12" s="6" customFormat="1" x14ac:dyDescent="0.25">
      <c r="A492" s="26"/>
      <c r="B492" s="27"/>
      <c r="C492" s="27"/>
      <c r="D492" s="27"/>
      <c r="E492" s="33"/>
      <c r="F492" s="5"/>
      <c r="G492" s="34"/>
      <c r="H492" s="34"/>
      <c r="I492" s="34"/>
      <c r="J492" s="34"/>
      <c r="K492" s="34"/>
      <c r="L492" s="35"/>
    </row>
    <row r="493" spans="1:12" s="6" customFormat="1" x14ac:dyDescent="0.25">
      <c r="A493" s="26"/>
      <c r="B493" s="27"/>
      <c r="C493" s="27"/>
      <c r="D493" s="27"/>
      <c r="E493" s="33"/>
      <c r="F493" s="5"/>
      <c r="G493" s="34"/>
      <c r="H493" s="34"/>
      <c r="I493" s="34"/>
      <c r="J493" s="34"/>
      <c r="K493" s="34"/>
      <c r="L493" s="35"/>
    </row>
    <row r="494" spans="1:12" s="6" customFormat="1" x14ac:dyDescent="0.25">
      <c r="A494" s="26"/>
      <c r="B494" s="27"/>
      <c r="C494" s="27"/>
      <c r="D494" s="27"/>
      <c r="E494" s="33"/>
      <c r="F494" s="5"/>
      <c r="G494" s="34"/>
      <c r="H494" s="34"/>
      <c r="I494" s="34"/>
      <c r="J494" s="34"/>
      <c r="K494" s="34"/>
      <c r="L494" s="35"/>
    </row>
    <row r="495" spans="1:12" s="6" customFormat="1" x14ac:dyDescent="0.25">
      <c r="A495" s="26"/>
      <c r="B495" s="27"/>
      <c r="C495" s="27"/>
      <c r="D495" s="27"/>
      <c r="E495" s="33"/>
      <c r="F495" s="5"/>
      <c r="G495" s="34"/>
      <c r="H495" s="34"/>
      <c r="I495" s="34"/>
      <c r="J495" s="34"/>
      <c r="K495" s="34"/>
      <c r="L495" s="35"/>
    </row>
    <row r="496" spans="1:12" s="6" customFormat="1" x14ac:dyDescent="0.25">
      <c r="A496" s="26"/>
      <c r="B496" s="27"/>
      <c r="C496" s="27"/>
      <c r="D496" s="27"/>
      <c r="E496" s="33"/>
      <c r="F496" s="5"/>
      <c r="G496" s="34"/>
      <c r="H496" s="34"/>
      <c r="I496" s="34"/>
      <c r="J496" s="34"/>
      <c r="K496" s="34"/>
      <c r="L496" s="35"/>
    </row>
    <row r="497" spans="1:12" s="6" customFormat="1" x14ac:dyDescent="0.25">
      <c r="A497" s="26"/>
      <c r="B497" s="27"/>
      <c r="C497" s="27"/>
      <c r="D497" s="27"/>
      <c r="E497" s="33"/>
      <c r="F497" s="5"/>
      <c r="G497" s="34"/>
      <c r="H497" s="34"/>
      <c r="I497" s="34"/>
      <c r="J497" s="34"/>
      <c r="K497" s="34"/>
      <c r="L497" s="35"/>
    </row>
    <row r="498" spans="1:12" s="6" customFormat="1" x14ac:dyDescent="0.25">
      <c r="A498" s="26"/>
      <c r="B498" s="27"/>
      <c r="C498" s="27"/>
      <c r="D498" s="27"/>
      <c r="E498" s="33"/>
      <c r="F498" s="5"/>
      <c r="G498" s="34"/>
      <c r="H498" s="34"/>
      <c r="I498" s="34"/>
      <c r="J498" s="34"/>
      <c r="K498" s="34"/>
      <c r="L498" s="35"/>
    </row>
    <row r="499" spans="1:12" s="6" customFormat="1" x14ac:dyDescent="0.25">
      <c r="A499" s="26"/>
      <c r="B499" s="27"/>
      <c r="C499" s="27"/>
      <c r="D499" s="27"/>
      <c r="E499" s="33"/>
      <c r="F499" s="5"/>
      <c r="G499" s="34"/>
      <c r="H499" s="34"/>
      <c r="I499" s="34"/>
      <c r="J499" s="34"/>
      <c r="K499" s="34"/>
      <c r="L499" s="35"/>
    </row>
    <row r="500" spans="1:12" s="6" customFormat="1" x14ac:dyDescent="0.25">
      <c r="A500" s="26"/>
      <c r="B500" s="27"/>
      <c r="C500" s="27"/>
      <c r="D500" s="27"/>
      <c r="E500" s="33"/>
      <c r="F500" s="5"/>
      <c r="G500" s="34"/>
      <c r="H500" s="34"/>
      <c r="I500" s="34"/>
      <c r="J500" s="34"/>
      <c r="K500" s="34"/>
      <c r="L500" s="35"/>
    </row>
    <row r="501" spans="1:12" s="6" customFormat="1" x14ac:dyDescent="0.25">
      <c r="A501" s="26"/>
      <c r="B501" s="27"/>
      <c r="C501" s="27"/>
      <c r="D501" s="27"/>
      <c r="E501" s="33"/>
      <c r="F501" s="5"/>
      <c r="G501" s="34"/>
      <c r="H501" s="34"/>
      <c r="I501" s="34"/>
      <c r="J501" s="34"/>
      <c r="K501" s="34"/>
      <c r="L501" s="35"/>
    </row>
    <row r="502" spans="1:12" s="6" customFormat="1" x14ac:dyDescent="0.25">
      <c r="A502" s="26"/>
      <c r="B502" s="27"/>
      <c r="C502" s="27"/>
      <c r="D502" s="27"/>
      <c r="E502" s="33"/>
      <c r="F502" s="5"/>
      <c r="G502" s="34"/>
      <c r="H502" s="34"/>
      <c r="I502" s="34"/>
      <c r="J502" s="34"/>
      <c r="K502" s="34"/>
      <c r="L502" s="35"/>
    </row>
    <row r="503" spans="1:12" s="6" customFormat="1" x14ac:dyDescent="0.25">
      <c r="A503" s="26"/>
      <c r="B503" s="27"/>
      <c r="C503" s="27"/>
      <c r="D503" s="27"/>
      <c r="E503" s="33"/>
      <c r="F503" s="5"/>
      <c r="G503" s="34"/>
      <c r="H503" s="34"/>
      <c r="I503" s="34"/>
      <c r="J503" s="34"/>
      <c r="K503" s="34"/>
      <c r="L503" s="35"/>
    </row>
    <row r="504" spans="1:12" s="6" customFormat="1" x14ac:dyDescent="0.25">
      <c r="A504" s="26"/>
      <c r="B504" s="27"/>
      <c r="C504" s="27"/>
      <c r="D504" s="27"/>
      <c r="E504" s="33"/>
      <c r="F504" s="5"/>
      <c r="G504" s="34"/>
      <c r="H504" s="34"/>
      <c r="I504" s="34"/>
      <c r="J504" s="34"/>
      <c r="K504" s="34"/>
      <c r="L504" s="35"/>
    </row>
    <row r="505" spans="1:12" s="6" customFormat="1" x14ac:dyDescent="0.25">
      <c r="A505" s="26"/>
      <c r="B505" s="27"/>
      <c r="C505" s="27"/>
      <c r="D505" s="27"/>
      <c r="E505" s="33"/>
      <c r="F505" s="5"/>
      <c r="G505" s="34"/>
      <c r="H505" s="34"/>
      <c r="I505" s="34"/>
      <c r="J505" s="34"/>
      <c r="K505" s="34"/>
      <c r="L505" s="35"/>
    </row>
    <row r="506" spans="1:12" s="6" customFormat="1" x14ac:dyDescent="0.25">
      <c r="A506" s="26"/>
      <c r="B506" s="27"/>
      <c r="C506" s="27"/>
      <c r="D506" s="27"/>
      <c r="E506" s="33"/>
      <c r="F506" s="5"/>
      <c r="G506" s="34"/>
      <c r="H506" s="34"/>
      <c r="I506" s="34"/>
      <c r="J506" s="34"/>
      <c r="K506" s="34"/>
      <c r="L506" s="35"/>
    </row>
    <row r="507" spans="1:12" s="6" customFormat="1" x14ac:dyDescent="0.25">
      <c r="A507" s="26"/>
      <c r="B507" s="27"/>
      <c r="C507" s="27"/>
      <c r="D507" s="27"/>
      <c r="E507" s="33"/>
      <c r="F507" s="5"/>
      <c r="G507" s="34"/>
      <c r="H507" s="34"/>
      <c r="I507" s="34"/>
      <c r="J507" s="34"/>
      <c r="K507" s="34"/>
      <c r="L507" s="35"/>
    </row>
    <row r="508" spans="1:12" s="6" customFormat="1" x14ac:dyDescent="0.25">
      <c r="A508" s="26"/>
      <c r="B508" s="27"/>
      <c r="C508" s="27"/>
      <c r="D508" s="27"/>
      <c r="E508" s="33"/>
      <c r="F508" s="5"/>
      <c r="G508" s="34"/>
      <c r="H508" s="34"/>
      <c r="I508" s="34"/>
      <c r="J508" s="34"/>
      <c r="K508" s="34"/>
      <c r="L508" s="35"/>
    </row>
    <row r="509" spans="1:12" s="6" customFormat="1" x14ac:dyDescent="0.25">
      <c r="A509" s="26"/>
      <c r="B509" s="27"/>
      <c r="C509" s="27"/>
      <c r="D509" s="27"/>
      <c r="E509" s="33"/>
      <c r="F509" s="5"/>
      <c r="G509" s="34"/>
      <c r="H509" s="34"/>
      <c r="I509" s="34"/>
      <c r="J509" s="34"/>
      <c r="K509" s="34"/>
      <c r="L509" s="35"/>
    </row>
    <row r="510" spans="1:12" s="6" customFormat="1" x14ac:dyDescent="0.25">
      <c r="A510" s="26"/>
      <c r="B510" s="27"/>
      <c r="C510" s="27"/>
      <c r="D510" s="27"/>
      <c r="E510" s="33"/>
      <c r="F510" s="5"/>
      <c r="G510" s="34"/>
      <c r="H510" s="34"/>
      <c r="I510" s="34"/>
      <c r="J510" s="34"/>
      <c r="K510" s="34"/>
      <c r="L510" s="35"/>
    </row>
    <row r="511" spans="1:12" s="6" customFormat="1" x14ac:dyDescent="0.25">
      <c r="A511" s="26"/>
      <c r="B511" s="27"/>
      <c r="C511" s="27"/>
      <c r="D511" s="27"/>
      <c r="E511" s="33"/>
      <c r="F511" s="5"/>
      <c r="G511" s="34"/>
      <c r="H511" s="34"/>
      <c r="I511" s="34"/>
      <c r="J511" s="34"/>
      <c r="K511" s="34"/>
      <c r="L511" s="35"/>
    </row>
    <row r="512" spans="1:12" s="6" customFormat="1" x14ac:dyDescent="0.25">
      <c r="A512" s="26"/>
      <c r="B512" s="27"/>
      <c r="C512" s="27"/>
      <c r="D512" s="27"/>
      <c r="E512" s="33"/>
      <c r="F512" s="5"/>
      <c r="G512" s="34"/>
      <c r="H512" s="34"/>
      <c r="I512" s="34"/>
      <c r="J512" s="34"/>
      <c r="K512" s="34"/>
      <c r="L512" s="35"/>
    </row>
    <row r="513" spans="1:12" s="6" customFormat="1" x14ac:dyDescent="0.25">
      <c r="A513" s="26"/>
      <c r="B513" s="27"/>
      <c r="C513" s="27"/>
      <c r="D513" s="27"/>
      <c r="E513" s="33"/>
      <c r="F513" s="5"/>
      <c r="G513" s="34"/>
      <c r="H513" s="34"/>
      <c r="I513" s="34"/>
      <c r="J513" s="34"/>
      <c r="K513" s="34"/>
      <c r="L513" s="35"/>
    </row>
    <row r="514" spans="1:12" s="6" customFormat="1" x14ac:dyDescent="0.25">
      <c r="A514" s="26"/>
      <c r="B514" s="27"/>
      <c r="C514" s="27"/>
      <c r="D514" s="27"/>
      <c r="E514" s="33"/>
      <c r="F514" s="5"/>
      <c r="G514" s="34"/>
      <c r="H514" s="34"/>
      <c r="I514" s="34"/>
      <c r="J514" s="34"/>
      <c r="K514" s="34"/>
      <c r="L514" s="35"/>
    </row>
    <row r="515" spans="1:12" s="6" customFormat="1" x14ac:dyDescent="0.25">
      <c r="A515" s="26"/>
      <c r="B515" s="27"/>
      <c r="C515" s="27"/>
      <c r="D515" s="27"/>
      <c r="E515" s="33"/>
      <c r="F515" s="5"/>
      <c r="G515" s="34"/>
      <c r="H515" s="34"/>
      <c r="I515" s="34"/>
      <c r="J515" s="34"/>
      <c r="K515" s="34"/>
      <c r="L515" s="35"/>
    </row>
  </sheetData>
  <mergeCells count="93">
    <mergeCell ref="A286:C292"/>
    <mergeCell ref="A22:A35"/>
    <mergeCell ref="B22:B35"/>
    <mergeCell ref="A114:L114"/>
    <mergeCell ref="C29:C35"/>
    <mergeCell ref="A85:L85"/>
    <mergeCell ref="A78:C84"/>
    <mergeCell ref="A86:A92"/>
    <mergeCell ref="B86:B92"/>
    <mergeCell ref="C86:C92"/>
    <mergeCell ref="A93:A99"/>
    <mergeCell ref="B93:B99"/>
    <mergeCell ref="C93:C99"/>
    <mergeCell ref="A186:C192"/>
    <mergeCell ref="A129:A135"/>
    <mergeCell ref="A36:A42"/>
    <mergeCell ref="A2:L2"/>
    <mergeCell ref="A4:A6"/>
    <mergeCell ref="A8:A14"/>
    <mergeCell ref="F3:G3"/>
    <mergeCell ref="E4:L4"/>
    <mergeCell ref="F5:L5"/>
    <mergeCell ref="B8:B14"/>
    <mergeCell ref="B4:B6"/>
    <mergeCell ref="C4:C6"/>
    <mergeCell ref="D4:D6"/>
    <mergeCell ref="A7:L7"/>
    <mergeCell ref="E5:E6"/>
    <mergeCell ref="C8:C14"/>
    <mergeCell ref="B36:B42"/>
    <mergeCell ref="C15:C21"/>
    <mergeCell ref="B15:B21"/>
    <mergeCell ref="A15:A21"/>
    <mergeCell ref="C22:C28"/>
    <mergeCell ref="C36:C42"/>
    <mergeCell ref="A179:C185"/>
    <mergeCell ref="A157:L157"/>
    <mergeCell ref="A216:C222"/>
    <mergeCell ref="A208:C208"/>
    <mergeCell ref="A209:C215"/>
    <mergeCell ref="A193:C193"/>
    <mergeCell ref="A194:C200"/>
    <mergeCell ref="A201:C207"/>
    <mergeCell ref="C172:C178"/>
    <mergeCell ref="A172:A178"/>
    <mergeCell ref="A143:A149"/>
    <mergeCell ref="B143:B149"/>
    <mergeCell ref="A165:A171"/>
    <mergeCell ref="B172:B178"/>
    <mergeCell ref="A150:C156"/>
    <mergeCell ref="B158:B164"/>
    <mergeCell ref="C158:C164"/>
    <mergeCell ref="C143:C149"/>
    <mergeCell ref="A158:A164"/>
    <mergeCell ref="B165:B171"/>
    <mergeCell ref="C165:C171"/>
    <mergeCell ref="A107:C113"/>
    <mergeCell ref="B115:B128"/>
    <mergeCell ref="C115:C121"/>
    <mergeCell ref="C122:C128"/>
    <mergeCell ref="A100:A106"/>
    <mergeCell ref="B100:B106"/>
    <mergeCell ref="C100:C106"/>
    <mergeCell ref="B129:B135"/>
    <mergeCell ref="C71:C77"/>
    <mergeCell ref="A279:C285"/>
    <mergeCell ref="A237:C243"/>
    <mergeCell ref="A244:C250"/>
    <mergeCell ref="A223:C229"/>
    <mergeCell ref="A230:C236"/>
    <mergeCell ref="A258:C264"/>
    <mergeCell ref="A265:C271"/>
    <mergeCell ref="A272:C278"/>
    <mergeCell ref="A251:C257"/>
    <mergeCell ref="B136:B142"/>
    <mergeCell ref="C129:C135"/>
    <mergeCell ref="A115:A128"/>
    <mergeCell ref="C136:C142"/>
    <mergeCell ref="A136:A142"/>
    <mergeCell ref="A71:A77"/>
    <mergeCell ref="B71:B77"/>
    <mergeCell ref="B64:B70"/>
    <mergeCell ref="C64:C70"/>
    <mergeCell ref="A57:A63"/>
    <mergeCell ref="B57:B63"/>
    <mergeCell ref="C57:C63"/>
    <mergeCell ref="A64:A70"/>
    <mergeCell ref="A43:A49"/>
    <mergeCell ref="C43:C49"/>
    <mergeCell ref="B43:B49"/>
    <mergeCell ref="A50:A56"/>
    <mergeCell ref="B50:B56"/>
    <mergeCell ref="C50:C56"/>
  </mergeCells>
  <phoneticPr fontId="0" type="noConversion"/>
  <pageMargins left="0.7" right="0.7" top="0.75" bottom="0.75" header="0.3" footer="0.3"/>
  <pageSetup paperSize="9" scale="44" fitToHeight="0" orientation="landscape" r:id="rId1"/>
  <rowBreaks count="8" manualBreakCount="8">
    <brk id="35" max="11" man="1"/>
    <brk id="70" max="11" man="1"/>
    <brk id="99" max="11" man="1"/>
    <brk id="128" max="11" man="1"/>
    <brk id="164" max="11" man="1"/>
    <brk id="200" max="11" man="1"/>
    <brk id="236" max="11" man="1"/>
    <brk id="27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Мероприятия</vt:lpstr>
      <vt:lpstr>Мероприятия!Заголовки_для_печати</vt:lpstr>
      <vt:lpstr>Мероприятия!Область_печати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OstapenkoEV</dc:creator>
  <cp:lastModifiedBy>Лукашева Лариса Александровна</cp:lastModifiedBy>
  <cp:lastPrinted>2021-03-19T03:22:00Z</cp:lastPrinted>
  <dcterms:created xsi:type="dcterms:W3CDTF">2013-07-02T09:58:10Z</dcterms:created>
  <dcterms:modified xsi:type="dcterms:W3CDTF">2021-03-25T11:18:39Z</dcterms:modified>
</cp:coreProperties>
</file>