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780" windowWidth="28800" windowHeight="11655"/>
  </bookViews>
  <sheets>
    <sheet name="проект" sheetId="4" r:id="rId1"/>
    <sheet name="Лист3" sheetId="3" r:id="rId2"/>
  </sheets>
  <definedNames>
    <definedName name="_xlnm.Print_Titles" localSheetId="0">проект!$5:$8</definedName>
    <definedName name="_xlnm.Print_Area" localSheetId="0">проект!$A$1:$M$151</definedName>
  </definedNames>
  <calcPr calcId="145621" iterate="1"/>
</workbook>
</file>

<file path=xl/calcChain.xml><?xml version="1.0" encoding="utf-8"?>
<calcChain xmlns="http://schemas.openxmlformats.org/spreadsheetml/2006/main">
  <c r="E41" i="4" l="1"/>
  <c r="E38" i="4"/>
  <c r="H69" i="4" l="1"/>
  <c r="H76" i="4"/>
  <c r="E140" i="4" l="1"/>
  <c r="E137" i="4" s="1"/>
  <c r="E139" i="4"/>
  <c r="E55" i="4"/>
  <c r="E52" i="4" s="1"/>
  <c r="H75" i="4" l="1"/>
  <c r="G69" i="4" l="1"/>
  <c r="J72" i="4" l="1"/>
  <c r="I72" i="4"/>
  <c r="H72" i="4"/>
  <c r="H94" i="4" s="1"/>
  <c r="H91" i="4" l="1"/>
  <c r="G143" i="4" l="1"/>
  <c r="H143" i="4"/>
  <c r="I143" i="4"/>
  <c r="J143" i="4"/>
  <c r="K143" i="4"/>
  <c r="L143" i="4"/>
  <c r="M143" i="4"/>
  <c r="F143" i="4"/>
  <c r="G140" i="4"/>
  <c r="H140" i="4"/>
  <c r="I140" i="4"/>
  <c r="J140" i="4"/>
  <c r="K140" i="4"/>
  <c r="L140" i="4"/>
  <c r="M140" i="4"/>
  <c r="F140" i="4"/>
  <c r="J58" i="4"/>
  <c r="I58" i="4"/>
  <c r="I86" i="4" s="1"/>
  <c r="H58" i="4"/>
  <c r="J41" i="4"/>
  <c r="I41" i="4"/>
  <c r="H41" i="4"/>
  <c r="J30" i="4"/>
  <c r="H30" i="4"/>
  <c r="I13" i="4"/>
  <c r="H13" i="4"/>
  <c r="G81" i="4"/>
  <c r="H81" i="4"/>
  <c r="I81" i="4"/>
  <c r="J81" i="4"/>
  <c r="K81" i="4"/>
  <c r="L81" i="4"/>
  <c r="M81" i="4"/>
  <c r="G82" i="4"/>
  <c r="H82" i="4"/>
  <c r="I82" i="4"/>
  <c r="J82" i="4"/>
  <c r="K82" i="4"/>
  <c r="L82" i="4"/>
  <c r="M82" i="4"/>
  <c r="G83" i="4"/>
  <c r="I83" i="4"/>
  <c r="J83" i="4"/>
  <c r="K83" i="4"/>
  <c r="L83" i="4"/>
  <c r="M83" i="4"/>
  <c r="G84" i="4"/>
  <c r="H84" i="4"/>
  <c r="I84" i="4"/>
  <c r="J84" i="4"/>
  <c r="K84" i="4"/>
  <c r="L84" i="4"/>
  <c r="M84" i="4"/>
  <c r="G85" i="4"/>
  <c r="H85" i="4"/>
  <c r="I85" i="4"/>
  <c r="J85" i="4"/>
  <c r="K85" i="4"/>
  <c r="L85" i="4"/>
  <c r="M85" i="4"/>
  <c r="G86" i="4"/>
  <c r="H86" i="4"/>
  <c r="K86" i="4"/>
  <c r="L86" i="4"/>
  <c r="M86" i="4"/>
  <c r="F82" i="4"/>
  <c r="F83" i="4"/>
  <c r="F84" i="4"/>
  <c r="F85" i="4"/>
  <c r="F86" i="4"/>
  <c r="F81" i="4"/>
  <c r="J86" i="4" l="1"/>
  <c r="H83" i="4"/>
  <c r="G33" i="4"/>
  <c r="G26" i="4"/>
  <c r="G13" i="4" l="1"/>
  <c r="G110" i="4" l="1"/>
  <c r="H110" i="4"/>
  <c r="J110" i="4"/>
  <c r="K110" i="4"/>
  <c r="L110" i="4"/>
  <c r="M110" i="4"/>
  <c r="G111" i="4"/>
  <c r="J111" i="4"/>
  <c r="K111" i="4"/>
  <c r="L111" i="4"/>
  <c r="H112" i="4"/>
  <c r="J112" i="4"/>
  <c r="K112" i="4"/>
  <c r="L112" i="4"/>
  <c r="M112" i="4"/>
  <c r="G113" i="4"/>
  <c r="H113" i="4"/>
  <c r="I113" i="4"/>
  <c r="J113" i="4"/>
  <c r="K113" i="4"/>
  <c r="L113" i="4"/>
  <c r="M113" i="4"/>
  <c r="G114" i="4"/>
  <c r="H114" i="4"/>
  <c r="I114" i="4"/>
  <c r="J114" i="4"/>
  <c r="K114" i="4"/>
  <c r="L114" i="4"/>
  <c r="M114" i="4"/>
  <c r="H115" i="4"/>
  <c r="I115" i="4"/>
  <c r="L115" i="4"/>
  <c r="F113" i="4"/>
  <c r="F114" i="4"/>
  <c r="F110" i="4"/>
  <c r="F111" i="4"/>
  <c r="G90" i="4"/>
  <c r="J91" i="4"/>
  <c r="K91" i="4"/>
  <c r="L91" i="4"/>
  <c r="M91" i="4"/>
  <c r="F96" i="4"/>
  <c r="G96" i="4"/>
  <c r="H96" i="4"/>
  <c r="I96" i="4"/>
  <c r="J96" i="4"/>
  <c r="K96" i="4"/>
  <c r="L96" i="4"/>
  <c r="M96" i="4"/>
  <c r="F97" i="4"/>
  <c r="F99" i="4"/>
  <c r="F100" i="4"/>
  <c r="G97" i="4"/>
  <c r="G99" i="4"/>
  <c r="G100" i="4"/>
  <c r="I68" i="4" l="1"/>
  <c r="I67" i="4"/>
  <c r="H68" i="4"/>
  <c r="I90" i="4" l="1"/>
  <c r="I111" i="4"/>
  <c r="I112" i="4"/>
  <c r="I91" i="4"/>
  <c r="H111" i="4"/>
  <c r="H90" i="4"/>
  <c r="I110" i="4"/>
  <c r="I89" i="4"/>
  <c r="G73" i="4"/>
  <c r="H73" i="4"/>
  <c r="I73" i="4"/>
  <c r="J73" i="4"/>
  <c r="K73" i="4"/>
  <c r="L73" i="4"/>
  <c r="E74" i="4"/>
  <c r="E75" i="4"/>
  <c r="F73" i="4"/>
  <c r="E77" i="4"/>
  <c r="E78" i="4"/>
  <c r="E79" i="4"/>
  <c r="M73" i="4"/>
  <c r="E76" i="4" l="1"/>
  <c r="E73" i="4" s="1"/>
  <c r="G27" i="4" l="1"/>
  <c r="J115" i="4" l="1"/>
  <c r="G30" i="4" l="1"/>
  <c r="G115" i="4" l="1"/>
  <c r="G55" i="4"/>
  <c r="G91" i="4" l="1"/>
  <c r="G112" i="4"/>
  <c r="F69" i="4"/>
  <c r="F112" i="4" l="1"/>
  <c r="F91" i="4"/>
  <c r="J94" i="4"/>
  <c r="E67" i="4" l="1"/>
  <c r="E68" i="4" l="1"/>
  <c r="F94" i="4" l="1"/>
  <c r="F48" i="4" l="1"/>
  <c r="F98" i="4" s="1"/>
  <c r="F115" i="4" l="1"/>
  <c r="H97" i="4"/>
  <c r="I97" i="4"/>
  <c r="J97" i="4"/>
  <c r="K97" i="4"/>
  <c r="L97" i="4"/>
  <c r="H89" i="4"/>
  <c r="J89" i="4"/>
  <c r="K89" i="4"/>
  <c r="L89" i="4"/>
  <c r="M89" i="4"/>
  <c r="G89" i="4"/>
  <c r="J90" i="4"/>
  <c r="K90" i="4"/>
  <c r="L90" i="4"/>
  <c r="M90" i="4"/>
  <c r="J92" i="4"/>
  <c r="K92" i="4"/>
  <c r="L92" i="4"/>
  <c r="M92" i="4"/>
  <c r="J93" i="4"/>
  <c r="K93" i="4"/>
  <c r="L93" i="4"/>
  <c r="M93" i="4"/>
  <c r="L94" i="4"/>
  <c r="I92" i="4"/>
  <c r="I93" i="4"/>
  <c r="I94" i="4"/>
  <c r="H92" i="4"/>
  <c r="H93" i="4"/>
  <c r="G92" i="4"/>
  <c r="G93" i="4"/>
  <c r="G94" i="4"/>
  <c r="G101" i="4" s="1"/>
  <c r="M16" i="4"/>
  <c r="M26" i="4"/>
  <c r="M33" i="4"/>
  <c r="M97" i="4" s="1"/>
  <c r="M111" i="4" l="1"/>
  <c r="M72" i="4"/>
  <c r="E62" i="4"/>
  <c r="G41" i="4" l="1"/>
  <c r="G98" i="4" s="1"/>
  <c r="F124" i="4" l="1"/>
  <c r="G124" i="4"/>
  <c r="H124" i="4"/>
  <c r="I124" i="4"/>
  <c r="J124" i="4"/>
  <c r="K124" i="4"/>
  <c r="L124" i="4"/>
  <c r="M124" i="4"/>
  <c r="F125" i="4"/>
  <c r="G125" i="4"/>
  <c r="H125" i="4"/>
  <c r="I125" i="4"/>
  <c r="J125" i="4"/>
  <c r="K125" i="4"/>
  <c r="L125" i="4"/>
  <c r="M125" i="4"/>
  <c r="F126" i="4"/>
  <c r="G126" i="4"/>
  <c r="H126" i="4"/>
  <c r="I126" i="4"/>
  <c r="J126" i="4"/>
  <c r="K126" i="4"/>
  <c r="L126" i="4"/>
  <c r="F127" i="4"/>
  <c r="G127" i="4"/>
  <c r="H127" i="4"/>
  <c r="I127" i="4"/>
  <c r="J127" i="4"/>
  <c r="K127" i="4"/>
  <c r="L127" i="4"/>
  <c r="M127" i="4"/>
  <c r="F128" i="4"/>
  <c r="G128" i="4"/>
  <c r="H128" i="4"/>
  <c r="I128" i="4"/>
  <c r="J128" i="4"/>
  <c r="K128" i="4"/>
  <c r="L128" i="4"/>
  <c r="M128" i="4"/>
  <c r="G129" i="4"/>
  <c r="H129" i="4"/>
  <c r="I129" i="4"/>
  <c r="J129" i="4"/>
  <c r="K129" i="4"/>
  <c r="L129" i="4"/>
  <c r="M129" i="4"/>
  <c r="E125" i="4" l="1"/>
  <c r="E124" i="4"/>
  <c r="E128" i="4"/>
  <c r="E127" i="4"/>
  <c r="J123" i="4"/>
  <c r="L123" i="4"/>
  <c r="K123" i="4"/>
  <c r="I123" i="4"/>
  <c r="G123" i="4"/>
  <c r="H123" i="4"/>
  <c r="M58" i="4" l="1"/>
  <c r="M94" i="4" s="1"/>
  <c r="L108" i="4" l="1"/>
  <c r="F107" i="4"/>
  <c r="F106" i="4"/>
  <c r="E27" i="4" l="1"/>
  <c r="F66" i="4" l="1"/>
  <c r="K72" i="4"/>
  <c r="E72" i="4" l="1"/>
  <c r="E69" i="4"/>
  <c r="E91" i="4"/>
  <c r="G66" i="4" l="1"/>
  <c r="H66" i="4"/>
  <c r="I66" i="4"/>
  <c r="J66" i="4"/>
  <c r="K66" i="4"/>
  <c r="L66" i="4"/>
  <c r="E70" i="4"/>
  <c r="E71" i="4"/>
  <c r="M66" i="4"/>
  <c r="E66" i="4" l="1"/>
  <c r="F133" i="4" l="1"/>
  <c r="E131" i="4"/>
  <c r="F130" i="4"/>
  <c r="G130" i="4"/>
  <c r="H130" i="4"/>
  <c r="J130" i="4"/>
  <c r="K130" i="4"/>
  <c r="L130" i="4"/>
  <c r="E133" i="4"/>
  <c r="I130" i="4"/>
  <c r="M130" i="4"/>
  <c r="E134" i="4"/>
  <c r="E135" i="4"/>
  <c r="E136" i="4"/>
  <c r="E48" i="4"/>
  <c r="F45" i="4"/>
  <c r="H45" i="4"/>
  <c r="I45" i="4"/>
  <c r="J45" i="4"/>
  <c r="L45" i="4"/>
  <c r="E46" i="4"/>
  <c r="E47" i="4"/>
  <c r="E49" i="4"/>
  <c r="E50" i="4"/>
  <c r="E51" i="4"/>
  <c r="G45" i="4"/>
  <c r="K45" i="4"/>
  <c r="M45" i="4"/>
  <c r="E45" i="4" l="1"/>
  <c r="E132" i="4"/>
  <c r="E130" i="4" s="1"/>
  <c r="K58" i="4"/>
  <c r="K115" i="4" l="1"/>
  <c r="K94" i="4"/>
  <c r="F65" i="4" l="1"/>
  <c r="F129" i="4" l="1"/>
  <c r="F101" i="4"/>
  <c r="F123" i="4"/>
  <c r="E129" i="4"/>
  <c r="F108" i="4"/>
  <c r="E65" i="4" l="1"/>
  <c r="M30" i="4"/>
  <c r="M115" i="4" l="1"/>
  <c r="E94" i="4"/>
  <c r="E30" i="4"/>
  <c r="E143" i="4"/>
  <c r="E33" i="4"/>
  <c r="M20" i="4"/>
  <c r="M13" i="4"/>
  <c r="M126" i="4" l="1"/>
  <c r="M123" i="4"/>
  <c r="E126" i="4"/>
  <c r="E123" i="4" s="1"/>
  <c r="E26" i="4"/>
  <c r="M100" i="4"/>
  <c r="L100" i="4"/>
  <c r="K100" i="4"/>
  <c r="J100" i="4"/>
  <c r="I100" i="4"/>
  <c r="H100" i="4"/>
  <c r="M99" i="4"/>
  <c r="L99" i="4"/>
  <c r="K99" i="4"/>
  <c r="J99" i="4"/>
  <c r="I99" i="4"/>
  <c r="H99" i="4"/>
  <c r="E16" i="4" l="1"/>
  <c r="E90" i="4"/>
  <c r="E60" i="4"/>
  <c r="E61" i="4"/>
  <c r="E63" i="4"/>
  <c r="E64" i="4"/>
  <c r="E57" i="4"/>
  <c r="E56" i="4"/>
  <c r="E54" i="4"/>
  <c r="E53" i="4"/>
  <c r="E44" i="4"/>
  <c r="E43" i="4"/>
  <c r="E42" i="4"/>
  <c r="E40" i="4"/>
  <c r="E39" i="4"/>
  <c r="E23" i="4"/>
  <c r="E22" i="4"/>
  <c r="E21" i="4"/>
  <c r="E20" i="4"/>
  <c r="E19" i="4"/>
  <c r="E18" i="4"/>
  <c r="E15" i="4"/>
  <c r="E14" i="4"/>
  <c r="E12" i="4"/>
  <c r="E11" i="4"/>
  <c r="E59" i="4" l="1"/>
  <c r="F10" i="4"/>
  <c r="E13" i="4"/>
  <c r="F59" i="4"/>
  <c r="G59" i="4"/>
  <c r="H59" i="4"/>
  <c r="I59" i="4"/>
  <c r="J59" i="4"/>
  <c r="K59" i="4"/>
  <c r="L59" i="4"/>
  <c r="M59" i="4"/>
  <c r="E83" i="4" l="1"/>
  <c r="H31" i="4" l="1"/>
  <c r="I31" i="4"/>
  <c r="J31" i="4"/>
  <c r="K31" i="4"/>
  <c r="L31" i="4"/>
  <c r="M31" i="4"/>
  <c r="E103" i="4" l="1"/>
  <c r="E104" i="4"/>
  <c r="E110" i="4"/>
  <c r="E117" i="4"/>
  <c r="E118" i="4"/>
  <c r="H119" i="4"/>
  <c r="I119" i="4"/>
  <c r="J119" i="4"/>
  <c r="K119" i="4"/>
  <c r="L119" i="4"/>
  <c r="M119" i="4"/>
  <c r="F139" i="4" l="1"/>
  <c r="G139" i="4"/>
  <c r="G137" i="4" s="1"/>
  <c r="H139" i="4"/>
  <c r="H137" i="4" s="1"/>
  <c r="I139" i="4"/>
  <c r="I137" i="4" s="1"/>
  <c r="J139" i="4"/>
  <c r="J137" i="4" s="1"/>
  <c r="K139" i="4"/>
  <c r="K137" i="4" s="1"/>
  <c r="L139" i="4"/>
  <c r="L137" i="4" s="1"/>
  <c r="M139" i="4"/>
  <c r="M137" i="4" s="1"/>
  <c r="F137" i="4" l="1"/>
  <c r="E58" i="4" l="1"/>
  <c r="H116" i="4"/>
  <c r="I116" i="4"/>
  <c r="J116" i="4"/>
  <c r="K116" i="4"/>
  <c r="L116" i="4"/>
  <c r="M116" i="4"/>
  <c r="L105" i="4"/>
  <c r="H101" i="4"/>
  <c r="I101" i="4"/>
  <c r="J101" i="4"/>
  <c r="K101" i="4"/>
  <c r="L101" i="4"/>
  <c r="M101" i="4"/>
  <c r="I98" i="4"/>
  <c r="J98" i="4"/>
  <c r="L98" i="4"/>
  <c r="M98" i="4"/>
  <c r="H52" i="4"/>
  <c r="I52" i="4"/>
  <c r="J52" i="4"/>
  <c r="K52" i="4"/>
  <c r="L52" i="4"/>
  <c r="M52" i="4"/>
  <c r="M24" i="4"/>
  <c r="H38" i="4"/>
  <c r="I38" i="4"/>
  <c r="J38" i="4"/>
  <c r="K38" i="4"/>
  <c r="L38" i="4"/>
  <c r="M38" i="4"/>
  <c r="H24" i="4"/>
  <c r="I24" i="4"/>
  <c r="J24" i="4"/>
  <c r="K24" i="4"/>
  <c r="L24" i="4"/>
  <c r="L88" i="4" l="1"/>
  <c r="H88" i="4"/>
  <c r="L80" i="4"/>
  <c r="H102" i="4"/>
  <c r="K88" i="4"/>
  <c r="L102" i="4"/>
  <c r="K102" i="4"/>
  <c r="K109" i="4"/>
  <c r="L109" i="4"/>
  <c r="K80" i="4"/>
  <c r="K98" i="4"/>
  <c r="K95" i="4" s="1"/>
  <c r="H109" i="4"/>
  <c r="H98" i="4"/>
  <c r="H80" i="4"/>
  <c r="L95" i="4"/>
  <c r="J109" i="4"/>
  <c r="M109" i="4"/>
  <c r="I109" i="4"/>
  <c r="J102" i="4"/>
  <c r="M102" i="4"/>
  <c r="I102" i="4"/>
  <c r="M95" i="4"/>
  <c r="I95" i="4"/>
  <c r="J95" i="4"/>
  <c r="M88" i="4"/>
  <c r="I88" i="4"/>
  <c r="J88" i="4"/>
  <c r="I80" i="4"/>
  <c r="J80" i="4"/>
  <c r="M80" i="4"/>
  <c r="H95" i="4" l="1"/>
  <c r="H17" i="4"/>
  <c r="I17" i="4"/>
  <c r="J17" i="4"/>
  <c r="K17" i="4"/>
  <c r="L17" i="4"/>
  <c r="M17" i="4"/>
  <c r="H10" i="4"/>
  <c r="I10" i="4"/>
  <c r="J10" i="4"/>
  <c r="K10" i="4"/>
  <c r="L10" i="4"/>
  <c r="M10" i="4"/>
  <c r="E111" i="4" l="1"/>
  <c r="E32" i="4"/>
  <c r="E34" i="4"/>
  <c r="E35" i="4"/>
  <c r="E36" i="4"/>
  <c r="E37" i="4"/>
  <c r="G31" i="4"/>
  <c r="F31" i="4"/>
  <c r="E31" i="4" s="1"/>
  <c r="E86" i="4" l="1"/>
  <c r="E115" i="4"/>
  <c r="E142" i="4" l="1"/>
  <c r="E121" i="4"/>
  <c r="E114" i="4"/>
  <c r="E107" i="4"/>
  <c r="F93" i="4"/>
  <c r="E29" i="4"/>
  <c r="E93" i="4" l="1"/>
  <c r="E100" i="4"/>
  <c r="E85" i="4"/>
  <c r="E101" i="4" l="1"/>
  <c r="F52" i="4"/>
  <c r="G52" i="4"/>
  <c r="E141" i="4" l="1"/>
  <c r="F122" i="4" l="1"/>
  <c r="G122" i="4"/>
  <c r="E120" i="4"/>
  <c r="F119" i="4"/>
  <c r="G119" i="4"/>
  <c r="E113" i="4"/>
  <c r="E106" i="4"/>
  <c r="E138" i="4"/>
  <c r="F17" i="4"/>
  <c r="G17" i="4"/>
  <c r="E17" i="4" l="1"/>
  <c r="F109" i="4"/>
  <c r="E112" i="4"/>
  <c r="E109" i="4" s="1"/>
  <c r="E105" i="4"/>
  <c r="E108" i="4"/>
  <c r="E119" i="4"/>
  <c r="E122" i="4"/>
  <c r="G102" i="4"/>
  <c r="F116" i="4"/>
  <c r="F102" i="4"/>
  <c r="G116" i="4"/>
  <c r="G109" i="4"/>
  <c r="E102" i="4" l="1"/>
  <c r="E116" i="4"/>
  <c r="E96" i="4"/>
  <c r="E98" i="4"/>
  <c r="F92" i="4"/>
  <c r="F89" i="4"/>
  <c r="E89" i="4" l="1"/>
  <c r="E92" i="4"/>
  <c r="E81" i="4"/>
  <c r="E82" i="4"/>
  <c r="E84" i="4"/>
  <c r="E99" i="4"/>
  <c r="F80" i="4"/>
  <c r="G80" i="4"/>
  <c r="E25" i="4"/>
  <c r="E28" i="4"/>
  <c r="E24" i="4" l="1"/>
  <c r="E80" i="4"/>
  <c r="E97" i="4"/>
  <c r="F88" i="4" l="1"/>
  <c r="G88" i="4"/>
  <c r="E88" i="4" l="1"/>
  <c r="F38" i="4"/>
  <c r="G38" i="4"/>
  <c r="F95" i="4" l="1"/>
  <c r="G95" i="4"/>
  <c r="E95" i="4" l="1"/>
  <c r="F24" i="4"/>
  <c r="G24" i="4"/>
  <c r="G10" i="4"/>
  <c r="E10" i="4" l="1"/>
</calcChain>
</file>

<file path=xl/sharedStrings.xml><?xml version="1.0" encoding="utf-8"?>
<sst xmlns="http://schemas.openxmlformats.org/spreadsheetml/2006/main" count="184" uniqueCount="60">
  <si>
    <t>Таблица 2</t>
  </si>
  <si>
    <t>Мероприятия муниципальной программы</t>
  </si>
  <si>
    <t>Ответственный исполнитель / соисполнитель</t>
  </si>
  <si>
    <t>в том числе:</t>
  </si>
  <si>
    <t>2019г.</t>
  </si>
  <si>
    <t>2020г.</t>
  </si>
  <si>
    <t xml:space="preserve">бюджет автономного округа </t>
  </si>
  <si>
    <t>бюджет автономного округа</t>
  </si>
  <si>
    <t>местный бюджет</t>
  </si>
  <si>
    <t>№ п/п</t>
  </si>
  <si>
    <t>всего</t>
  </si>
  <si>
    <t>федеральный бюджет</t>
  </si>
  <si>
    <t>средства по Соглашениям по передаче полномочий</t>
  </si>
  <si>
    <t>Всего по муниципальной программе</t>
  </si>
  <si>
    <t>иные источники</t>
  </si>
  <si>
    <t>иные  источники</t>
  </si>
  <si>
    <t>Всего</t>
  </si>
  <si>
    <t>Источники финансирования</t>
  </si>
  <si>
    <t xml:space="preserve">всего </t>
  </si>
  <si>
    <t>инвестиции в объекты муниципальной собственности</t>
  </si>
  <si>
    <t>прочие расходы</t>
  </si>
  <si>
    <t>Департамент образования и молодежной политики Нефтеюганского района</t>
  </si>
  <si>
    <t>Соисполнитель 1                                                     Департамент строительства 
и жилищно-коммунального комплекса                                                      (МКУ «Управление капитального строительства и жилищно-коммунального комплекса»)</t>
  </si>
  <si>
    <t xml:space="preserve">Ответственный исполнитель                                       Администрация Нефтеюганского района- комитет по делам народов Севера,охраны окружающей среды и водных ресурсов </t>
  </si>
  <si>
    <t>Администрация Нефтеюганского района – комитет по делам народов Севера, охраны окружающей среды и водных ресурсов/МКУ "Управление по делам администрации Нефтеюганского района"</t>
  </si>
  <si>
    <t xml:space="preserve">Департамент строительства 
и жилищно-коммунального комплекса 
(МКУ 
«УКСиЖКК НР»)
</t>
  </si>
  <si>
    <t xml:space="preserve">Перечень основных мероприятий муниципальной программы </t>
  </si>
  <si>
    <t>2021г.</t>
  </si>
  <si>
    <t>2022г</t>
  </si>
  <si>
    <t>2023г.</t>
  </si>
  <si>
    <t>2024г.</t>
  </si>
  <si>
    <t>2025-2030гг.</t>
  </si>
  <si>
    <t xml:space="preserve">Финансовые затраты </t>
  </si>
  <si>
    <t>на реализацию (тыс.руб.)</t>
  </si>
  <si>
    <t>в том числе</t>
  </si>
  <si>
    <t xml:space="preserve">средства 
поселений*
</t>
  </si>
  <si>
    <t xml:space="preserve">средства 
поселений* 
</t>
  </si>
  <si>
    <t>*Средства поселений не суммируются в строке "всего"</t>
  </si>
  <si>
    <t>местный бюджет**</t>
  </si>
  <si>
    <t>**Оплата по переходящим контрактам с учетом показателей достигнутых в предыдущем году</t>
  </si>
  <si>
    <t xml:space="preserve">Администрации городского и сельских поселений
</t>
  </si>
  <si>
    <t>Администрации городского и сельских поселений</t>
  </si>
  <si>
    <t>Департамент имущественных отношений</t>
  </si>
  <si>
    <t>Департамент строительства 
и жилищно-коммунального комплекса 
(МКУ 
«УКСиЖКК НР»)</t>
  </si>
  <si>
    <t xml:space="preserve">Основное мероприятие: Повышение экологически безопасного уровня обращения с отходами и качества жизни 
населения                              (показатель 4)
</t>
  </si>
  <si>
    <r>
      <t xml:space="preserve">Основное мероприятие:  Организация деятельности по обращению с отходами производства и потребления </t>
    </r>
    <r>
      <rPr>
        <sz val="12"/>
        <rFont val="Times New Roman"/>
        <family val="1"/>
        <charset val="204"/>
      </rPr>
      <t xml:space="preserve">    </t>
    </r>
    <r>
      <rPr>
        <sz val="12"/>
        <color theme="5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                      (показатель 2)  </t>
    </r>
  </si>
  <si>
    <t xml:space="preserve">Соисполнитель  5                                                                                        Администрации городского и сельских поселений
</t>
  </si>
  <si>
    <t>Соисполнитель 2                                               Департамент образования и молодежной политики Нефтеюганского района</t>
  </si>
  <si>
    <t>Соисполнитель 3                                                       МКУ «Управление по делам администрации Нефтеюганского района»</t>
  </si>
  <si>
    <t>Соисполнитель 4                                                Департамент имущественных отношений Нефтеюганского района</t>
  </si>
  <si>
    <t>Основное мероприятие: Сохранение уникальных водных объектов (показатель 3,6)</t>
  </si>
  <si>
    <t>Основное мероприятие: Чистая вода (показатель 5)</t>
  </si>
  <si>
    <t>2019 год</t>
  </si>
  <si>
    <t>«Рекультивация несанкционированной свалки твердых бытовых отходов в гп. Пойковский» - 408,84075 тыс. рублей</t>
  </si>
  <si>
    <t>«Рекультивация несанкционированной свалки твердых бытовых отходов в сп. Салым» - 349,63525 тыс. рублей</t>
  </si>
  <si>
    <t>"Приобретение и монтаж установки заводской готовности модульного типа для очистки бытовых стоков, производительностью 200 м3/сут. В сп.Усть-Юган Нефтеюганского района" - 3 048,90632 тыс. рублей</t>
  </si>
  <si>
    <t>"Строительство фундамента и сетей под объект "Приобретение и монтаж установки заводской готовности модульного типа для очистки бытовых стоков, производительностью 200 м3/сут. В сп.Усть-Юган Нефтеюганского района" - 8 094,78 тыс. рублей</t>
  </si>
  <si>
    <t xml:space="preserve"> "Комплекс сооружений водоснабжения, водоочистки и сетей водоснабжения в сп.Сингапай Нефтеюганского района" - 3 231,94644 тыс. рублей</t>
  </si>
  <si>
    <t xml:space="preserve">Основное мероприятие: Организация и развитие системы экологического образования, просвещения и формирования экологической культуры, в том числе участие 
в международной экологической 
акции "Спасти  
и сохранить" (показатель 1)
</t>
  </si>
  <si>
    <t>Основное мероприятие: Региональный проект "Чистая вода" (показатель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</si>
</sst>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_р_._-;\-* #,##0.00_р_._-;_-* &quot;-&quot;?_р_._-;_-@_-"/>
    <numFmt numFmtId="167" formatCode="_-* #,##0.00000_р_._-;\-* #,##0.00000_р_._-;_-* &quot;-&quot;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5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/>
    <xf numFmtId="0" fontId="9" fillId="0" borderId="0" xfId="0" applyFont="1" applyFill="1" applyAlignment="1">
      <alignment horizont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65" fontId="7" fillId="2" borderId="0" xfId="0" applyNumberFormat="1" applyFont="1" applyFill="1"/>
    <xf numFmtId="0" fontId="0" fillId="2" borderId="0" xfId="0" applyFill="1"/>
    <xf numFmtId="167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7" fontId="0" fillId="2" borderId="1" xfId="0" applyNumberForma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7" fontId="3" fillId="2" borderId="1" xfId="1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Border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/>
    <xf numFmtId="0" fontId="0" fillId="0" borderId="15" xfId="0" applyBorder="1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" fontId="2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9"/>
  <sheetViews>
    <sheetView tabSelected="1" view="pageBreakPreview" topLeftCell="A79" zoomScale="77" zoomScaleNormal="77" zoomScaleSheetLayoutView="77" workbookViewId="0">
      <selection activeCell="H43" sqref="H43"/>
    </sheetView>
  </sheetViews>
  <sheetFormatPr defaultRowHeight="15" x14ac:dyDescent="0.25"/>
  <cols>
    <col min="1" max="1" width="5.28515625" customWidth="1"/>
    <col min="2" max="2" width="25.28515625" customWidth="1"/>
    <col min="3" max="3" width="19.85546875" customWidth="1"/>
    <col min="4" max="4" width="27.42578125" customWidth="1"/>
    <col min="5" max="5" width="21.85546875" customWidth="1"/>
    <col min="6" max="6" width="17.5703125" customWidth="1"/>
    <col min="7" max="8" width="18.85546875" customWidth="1"/>
    <col min="9" max="9" width="17.5703125" customWidth="1"/>
    <col min="10" max="10" width="19" customWidth="1"/>
    <col min="11" max="11" width="17.7109375" customWidth="1"/>
    <col min="12" max="12" width="12.140625" hidden="1" customWidth="1"/>
    <col min="13" max="13" width="18" customWidth="1"/>
  </cols>
  <sheetData>
    <row r="1" spans="1:13" ht="19.5" x14ac:dyDescent="0.3">
      <c r="A1" s="1"/>
      <c r="F1" s="41" t="s">
        <v>0</v>
      </c>
      <c r="G1" s="41"/>
      <c r="H1" s="41"/>
      <c r="I1" s="41"/>
      <c r="J1" s="41"/>
      <c r="K1" s="41"/>
    </row>
    <row r="2" spans="1:13" ht="15.75" x14ac:dyDescent="0.25">
      <c r="A2" s="1"/>
      <c r="F2" s="2"/>
      <c r="G2" s="2"/>
      <c r="H2" s="2"/>
    </row>
    <row r="3" spans="1:13" ht="19.5" x14ac:dyDescent="0.3">
      <c r="A3" s="5"/>
      <c r="B3" s="6"/>
      <c r="C3" s="14" t="s">
        <v>26</v>
      </c>
      <c r="D3" s="14"/>
      <c r="E3" s="14"/>
      <c r="F3" s="15"/>
      <c r="G3" s="15"/>
      <c r="H3" s="15"/>
    </row>
    <row r="4" spans="1:13" ht="18" customHeight="1" x14ac:dyDescent="0.25">
      <c r="A4" s="5"/>
      <c r="B4" s="6"/>
      <c r="C4" s="6"/>
      <c r="D4" s="6"/>
      <c r="E4" s="6"/>
      <c r="F4" s="48"/>
      <c r="G4" s="48"/>
      <c r="H4" s="10"/>
    </row>
    <row r="5" spans="1:13" ht="16.5" customHeight="1" x14ac:dyDescent="0.25">
      <c r="A5" s="47" t="s">
        <v>9</v>
      </c>
      <c r="B5" s="47" t="s">
        <v>1</v>
      </c>
      <c r="C5" s="47" t="s">
        <v>2</v>
      </c>
      <c r="D5" s="47" t="s">
        <v>17</v>
      </c>
      <c r="E5" s="50" t="s">
        <v>32</v>
      </c>
      <c r="F5" s="51"/>
      <c r="G5" s="51"/>
      <c r="H5" s="52"/>
      <c r="I5" s="52"/>
      <c r="J5" s="52"/>
      <c r="K5" s="52"/>
      <c r="L5" s="52"/>
      <c r="M5" s="53"/>
    </row>
    <row r="6" spans="1:13" ht="16.5" customHeight="1" x14ac:dyDescent="0.25">
      <c r="A6" s="47"/>
      <c r="B6" s="47"/>
      <c r="C6" s="47"/>
      <c r="D6" s="47"/>
      <c r="E6" s="50" t="s">
        <v>33</v>
      </c>
      <c r="F6" s="51"/>
      <c r="G6" s="51"/>
      <c r="H6" s="51"/>
      <c r="I6" s="51"/>
      <c r="J6" s="51"/>
      <c r="K6" s="51"/>
      <c r="L6" s="51"/>
      <c r="M6" s="63"/>
    </row>
    <row r="7" spans="1:13" ht="21.75" customHeight="1" x14ac:dyDescent="0.25">
      <c r="A7" s="47"/>
      <c r="B7" s="47"/>
      <c r="C7" s="47"/>
      <c r="D7" s="47"/>
      <c r="E7" s="47" t="s">
        <v>16</v>
      </c>
      <c r="F7" s="51" t="s">
        <v>34</v>
      </c>
      <c r="G7" s="51"/>
      <c r="H7" s="52"/>
      <c r="I7" s="52"/>
      <c r="J7" s="52"/>
      <c r="K7" s="52"/>
      <c r="L7" s="52"/>
      <c r="M7" s="53"/>
    </row>
    <row r="8" spans="1:13" ht="15.75" x14ac:dyDescent="0.25">
      <c r="A8" s="47"/>
      <c r="B8" s="47"/>
      <c r="C8" s="47"/>
      <c r="D8" s="47"/>
      <c r="E8" s="47"/>
      <c r="F8" s="7" t="s">
        <v>4</v>
      </c>
      <c r="G8" s="7" t="s">
        <v>5</v>
      </c>
      <c r="H8" s="9" t="s">
        <v>27</v>
      </c>
      <c r="I8" s="11" t="s">
        <v>28</v>
      </c>
      <c r="J8" s="11" t="s">
        <v>29</v>
      </c>
      <c r="K8" s="11" t="s">
        <v>30</v>
      </c>
      <c r="L8" s="11"/>
      <c r="M8" s="11" t="s">
        <v>31</v>
      </c>
    </row>
    <row r="9" spans="1:13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12">
        <v>8</v>
      </c>
      <c r="I9" s="13">
        <v>9</v>
      </c>
      <c r="J9" s="13">
        <v>10</v>
      </c>
      <c r="K9" s="13">
        <v>11</v>
      </c>
      <c r="L9" s="13"/>
      <c r="M9" s="13">
        <v>12</v>
      </c>
    </row>
    <row r="10" spans="1:13" ht="32.25" customHeight="1" x14ac:dyDescent="0.25">
      <c r="A10" s="46">
        <v>1</v>
      </c>
      <c r="B10" s="42" t="s">
        <v>58</v>
      </c>
      <c r="C10" s="46" t="s">
        <v>24</v>
      </c>
      <c r="D10" s="22" t="s">
        <v>10</v>
      </c>
      <c r="E10" s="30">
        <f>+F10+G10+H10+I10+J10+K10+L10+M10</f>
        <v>7002.5474800000002</v>
      </c>
      <c r="F10" s="16">
        <f>F11+F12+F13+F14+F16</f>
        <v>526.79362000000003</v>
      </c>
      <c r="G10" s="30">
        <f t="shared" ref="G10:M10" si="0">G11+G12+G13+G14+G16</f>
        <v>682.02386000000001</v>
      </c>
      <c r="H10" s="30">
        <f t="shared" si="0"/>
        <v>693.73</v>
      </c>
      <c r="I10" s="30">
        <f t="shared" si="0"/>
        <v>800</v>
      </c>
      <c r="J10" s="30">
        <f t="shared" si="0"/>
        <v>800</v>
      </c>
      <c r="K10" s="30">
        <f t="shared" si="0"/>
        <v>500</v>
      </c>
      <c r="L10" s="30">
        <f t="shared" si="0"/>
        <v>0</v>
      </c>
      <c r="M10" s="30">
        <f t="shared" si="0"/>
        <v>3000</v>
      </c>
    </row>
    <row r="11" spans="1:13" ht="26.25" customHeight="1" x14ac:dyDescent="0.25">
      <c r="A11" s="46"/>
      <c r="B11" s="43"/>
      <c r="C11" s="46"/>
      <c r="D11" s="23" t="s">
        <v>11</v>
      </c>
      <c r="E11" s="30">
        <f>F11+G11</f>
        <v>0</v>
      </c>
      <c r="F11" s="17">
        <v>0</v>
      </c>
      <c r="G11" s="32">
        <v>0</v>
      </c>
      <c r="H11" s="32">
        <v>0</v>
      </c>
      <c r="I11" s="33">
        <v>0</v>
      </c>
      <c r="J11" s="33">
        <v>0</v>
      </c>
      <c r="K11" s="33">
        <v>0</v>
      </c>
      <c r="L11" s="33"/>
      <c r="M11" s="33">
        <v>0</v>
      </c>
    </row>
    <row r="12" spans="1:13" ht="33.75" customHeight="1" x14ac:dyDescent="0.25">
      <c r="A12" s="46"/>
      <c r="B12" s="43"/>
      <c r="C12" s="46"/>
      <c r="D12" s="24" t="s">
        <v>6</v>
      </c>
      <c r="E12" s="30">
        <f>F12+G12</f>
        <v>0</v>
      </c>
      <c r="F12" s="18">
        <v>0</v>
      </c>
      <c r="G12" s="21">
        <v>0</v>
      </c>
      <c r="H12" s="21">
        <v>0</v>
      </c>
      <c r="I12" s="33">
        <v>0</v>
      </c>
      <c r="J12" s="33">
        <v>0</v>
      </c>
      <c r="K12" s="33">
        <v>0</v>
      </c>
      <c r="L12" s="33"/>
      <c r="M12" s="33">
        <v>0</v>
      </c>
    </row>
    <row r="13" spans="1:13" ht="22.5" customHeight="1" x14ac:dyDescent="0.25">
      <c r="A13" s="46"/>
      <c r="B13" s="43"/>
      <c r="C13" s="46"/>
      <c r="D13" s="24" t="s">
        <v>8</v>
      </c>
      <c r="E13" s="32">
        <f>F13+G13+H13+I13+J13+K13+L13+M13</f>
        <v>6302.5474800000002</v>
      </c>
      <c r="F13" s="17">
        <v>526.79362000000003</v>
      </c>
      <c r="G13" s="32">
        <f>351.12923+149.77413+64.5+35.5+99.56675+100-6.63893-107.41889-4.38843</f>
        <v>682.02386000000001</v>
      </c>
      <c r="H13" s="32">
        <f>496.89+149.58+50+97.26-100</f>
        <v>693.73</v>
      </c>
      <c r="I13" s="32">
        <f>415+150+135+100</f>
        <v>800</v>
      </c>
      <c r="J13" s="32">
        <v>800</v>
      </c>
      <c r="K13" s="32">
        <v>400</v>
      </c>
      <c r="L13" s="32"/>
      <c r="M13" s="32">
        <f>400*6</f>
        <v>2400</v>
      </c>
    </row>
    <row r="14" spans="1:13" ht="63.75" customHeight="1" x14ac:dyDescent="0.25">
      <c r="A14" s="46"/>
      <c r="B14" s="43"/>
      <c r="C14" s="46"/>
      <c r="D14" s="24" t="s">
        <v>12</v>
      </c>
      <c r="E14" s="32">
        <f>F14+G14</f>
        <v>0</v>
      </c>
      <c r="F14" s="17">
        <v>0</v>
      </c>
      <c r="G14" s="32">
        <v>0</v>
      </c>
      <c r="H14" s="32">
        <v>0</v>
      </c>
      <c r="I14" s="33">
        <v>0</v>
      </c>
      <c r="J14" s="34">
        <v>0</v>
      </c>
      <c r="K14" s="34">
        <v>0</v>
      </c>
      <c r="L14" s="34"/>
      <c r="M14" s="34">
        <v>0</v>
      </c>
    </row>
    <row r="15" spans="1:13" ht="45.75" customHeight="1" x14ac:dyDescent="0.25">
      <c r="A15" s="46"/>
      <c r="B15" s="43"/>
      <c r="C15" s="46"/>
      <c r="D15" s="24" t="s">
        <v>35</v>
      </c>
      <c r="E15" s="32">
        <f>F15+G15</f>
        <v>0</v>
      </c>
      <c r="F15" s="17">
        <v>0</v>
      </c>
      <c r="G15" s="32">
        <v>0</v>
      </c>
      <c r="H15" s="32">
        <v>0</v>
      </c>
      <c r="I15" s="33">
        <v>0</v>
      </c>
      <c r="J15" s="34">
        <v>0</v>
      </c>
      <c r="K15" s="34">
        <v>0</v>
      </c>
      <c r="L15" s="34"/>
      <c r="M15" s="34">
        <v>0</v>
      </c>
    </row>
    <row r="16" spans="1:13" ht="28.5" customHeight="1" x14ac:dyDescent="0.25">
      <c r="A16" s="46"/>
      <c r="B16" s="43"/>
      <c r="C16" s="46"/>
      <c r="D16" s="24" t="s">
        <v>14</v>
      </c>
      <c r="E16" s="32">
        <f>F16+G16+H16+I16+J16+K16+L16+M16</f>
        <v>700</v>
      </c>
      <c r="F16" s="17">
        <v>0</v>
      </c>
      <c r="G16" s="32">
        <v>0</v>
      </c>
      <c r="H16" s="32">
        <v>0</v>
      </c>
      <c r="I16" s="33">
        <v>0</v>
      </c>
      <c r="J16" s="34">
        <v>0</v>
      </c>
      <c r="K16" s="34">
        <v>100</v>
      </c>
      <c r="L16" s="34"/>
      <c r="M16" s="34">
        <f>100*6</f>
        <v>600</v>
      </c>
    </row>
    <row r="17" spans="1:13" ht="27.75" customHeight="1" x14ac:dyDescent="0.25">
      <c r="A17" s="46"/>
      <c r="B17" s="43"/>
      <c r="C17" s="46" t="s">
        <v>21</v>
      </c>
      <c r="D17" s="22" t="s">
        <v>10</v>
      </c>
      <c r="E17" s="30">
        <f>F17+G17+H17+I17+J17+K17+L17+M17</f>
        <v>7200</v>
      </c>
      <c r="F17" s="16">
        <f>F18+F19+F20+F21+F23</f>
        <v>600</v>
      </c>
      <c r="G17" s="30">
        <f>G18+G19+G20+G21+G23</f>
        <v>600</v>
      </c>
      <c r="H17" s="30">
        <f t="shared" ref="H17:M17" si="1">H18+H19+H20+H21+H23</f>
        <v>600</v>
      </c>
      <c r="I17" s="30">
        <f t="shared" si="1"/>
        <v>600</v>
      </c>
      <c r="J17" s="30">
        <f t="shared" si="1"/>
        <v>600</v>
      </c>
      <c r="K17" s="30">
        <f t="shared" si="1"/>
        <v>600</v>
      </c>
      <c r="L17" s="30">
        <f t="shared" si="1"/>
        <v>0</v>
      </c>
      <c r="M17" s="30">
        <f t="shared" si="1"/>
        <v>3600</v>
      </c>
    </row>
    <row r="18" spans="1:13" ht="41.25" customHeight="1" x14ac:dyDescent="0.25">
      <c r="A18" s="46"/>
      <c r="B18" s="43"/>
      <c r="C18" s="46"/>
      <c r="D18" s="23" t="s">
        <v>11</v>
      </c>
      <c r="E18" s="32">
        <f>F18+G18</f>
        <v>0</v>
      </c>
      <c r="F18" s="17">
        <v>0</v>
      </c>
      <c r="G18" s="32">
        <v>0</v>
      </c>
      <c r="H18" s="32">
        <v>0</v>
      </c>
      <c r="I18" s="33">
        <v>0</v>
      </c>
      <c r="J18" s="33">
        <v>0</v>
      </c>
      <c r="K18" s="33">
        <v>0</v>
      </c>
      <c r="L18" s="33"/>
      <c r="M18" s="33">
        <v>0</v>
      </c>
    </row>
    <row r="19" spans="1:13" ht="41.25" customHeight="1" x14ac:dyDescent="0.25">
      <c r="A19" s="46"/>
      <c r="B19" s="43"/>
      <c r="C19" s="46"/>
      <c r="D19" s="24" t="s">
        <v>6</v>
      </c>
      <c r="E19" s="32">
        <f>F19+G19</f>
        <v>0</v>
      </c>
      <c r="F19" s="17">
        <v>0</v>
      </c>
      <c r="G19" s="32">
        <v>0</v>
      </c>
      <c r="H19" s="32">
        <v>0</v>
      </c>
      <c r="I19" s="33">
        <v>0</v>
      </c>
      <c r="J19" s="33">
        <v>0</v>
      </c>
      <c r="K19" s="33">
        <v>0</v>
      </c>
      <c r="L19" s="33"/>
      <c r="M19" s="33">
        <v>0</v>
      </c>
    </row>
    <row r="20" spans="1:13" ht="41.25" customHeight="1" x14ac:dyDescent="0.25">
      <c r="A20" s="46"/>
      <c r="B20" s="43"/>
      <c r="C20" s="46"/>
      <c r="D20" s="24" t="s">
        <v>8</v>
      </c>
      <c r="E20" s="32">
        <f>F20+G20+H20+I20+J20+K20+L20+M20</f>
        <v>7200</v>
      </c>
      <c r="F20" s="17">
        <v>600</v>
      </c>
      <c r="G20" s="32">
        <v>600</v>
      </c>
      <c r="H20" s="32">
        <v>600</v>
      </c>
      <c r="I20" s="32">
        <v>600</v>
      </c>
      <c r="J20" s="32">
        <v>600</v>
      </c>
      <c r="K20" s="32">
        <v>600</v>
      </c>
      <c r="L20" s="32"/>
      <c r="M20" s="32">
        <f>600*6</f>
        <v>3600</v>
      </c>
    </row>
    <row r="21" spans="1:13" ht="66.75" customHeight="1" x14ac:dyDescent="0.25">
      <c r="A21" s="46"/>
      <c r="B21" s="43"/>
      <c r="C21" s="46"/>
      <c r="D21" s="24" t="s">
        <v>12</v>
      </c>
      <c r="E21" s="32">
        <f>F21+G21</f>
        <v>0</v>
      </c>
      <c r="F21" s="17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</row>
    <row r="22" spans="1:13" ht="66.75" customHeight="1" x14ac:dyDescent="0.25">
      <c r="A22" s="46"/>
      <c r="B22" s="43"/>
      <c r="C22" s="46"/>
      <c r="D22" s="24" t="s">
        <v>36</v>
      </c>
      <c r="E22" s="32">
        <f>F22+G22</f>
        <v>0</v>
      </c>
      <c r="F22" s="17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</row>
    <row r="23" spans="1:13" ht="41.25" customHeight="1" x14ac:dyDescent="0.25">
      <c r="A23" s="46"/>
      <c r="B23" s="49"/>
      <c r="C23" s="46"/>
      <c r="D23" s="24" t="s">
        <v>14</v>
      </c>
      <c r="E23" s="32">
        <f>F23+G23</f>
        <v>0</v>
      </c>
      <c r="F23" s="17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</row>
    <row r="24" spans="1:13" ht="24" customHeight="1" x14ac:dyDescent="0.25">
      <c r="A24" s="42">
        <v>2</v>
      </c>
      <c r="B24" s="42" t="s">
        <v>45</v>
      </c>
      <c r="C24" s="46" t="s">
        <v>25</v>
      </c>
      <c r="D24" s="22" t="s">
        <v>10</v>
      </c>
      <c r="E24" s="35">
        <f>E26+E25+E27+E28+E29+E30</f>
        <v>436245.73256999993</v>
      </c>
      <c r="F24" s="19">
        <f>F25+F26+F27+F28+F30</f>
        <v>7562.2165699999996</v>
      </c>
      <c r="G24" s="35">
        <f>G25+G26+G27+G28+G30</f>
        <v>1855.1959999999997</v>
      </c>
      <c r="H24" s="35">
        <f t="shared" ref="H24:M24" si="2">H25+H26+H27+H28+H30</f>
        <v>163152.65</v>
      </c>
      <c r="I24" s="35">
        <f t="shared" si="2"/>
        <v>114231.87</v>
      </c>
      <c r="J24" s="35">
        <f t="shared" si="2"/>
        <v>134768.44</v>
      </c>
      <c r="K24" s="35">
        <f t="shared" si="2"/>
        <v>2096.48</v>
      </c>
      <c r="L24" s="35">
        <f t="shared" si="2"/>
        <v>0</v>
      </c>
      <c r="M24" s="35">
        <f t="shared" si="2"/>
        <v>12578.88</v>
      </c>
    </row>
    <row r="25" spans="1:13" ht="28.5" customHeight="1" x14ac:dyDescent="0.25">
      <c r="A25" s="43"/>
      <c r="B25" s="43"/>
      <c r="C25" s="46"/>
      <c r="D25" s="23" t="s">
        <v>11</v>
      </c>
      <c r="E25" s="21">
        <f>SUM(F25:G25)</f>
        <v>0</v>
      </c>
      <c r="F25" s="18">
        <v>0</v>
      </c>
      <c r="G25" s="21">
        <v>0</v>
      </c>
      <c r="H25" s="21"/>
      <c r="I25" s="33"/>
      <c r="J25" s="33"/>
      <c r="K25" s="33"/>
      <c r="L25" s="33"/>
      <c r="M25" s="33"/>
    </row>
    <row r="26" spans="1:13" ht="33" customHeight="1" x14ac:dyDescent="0.25">
      <c r="A26" s="43"/>
      <c r="B26" s="43"/>
      <c r="C26" s="46"/>
      <c r="D26" s="23" t="s">
        <v>7</v>
      </c>
      <c r="E26" s="21">
        <f>F26+G26+H26+I26+J26+K26+L26+M26</f>
        <v>1155.3600000000001</v>
      </c>
      <c r="F26" s="18">
        <v>93.12</v>
      </c>
      <c r="G26" s="21">
        <f>96.48+0.24</f>
        <v>96.72</v>
      </c>
      <c r="H26" s="21">
        <v>96.72</v>
      </c>
      <c r="I26" s="21">
        <v>96.72</v>
      </c>
      <c r="J26" s="21">
        <v>96.72</v>
      </c>
      <c r="K26" s="21">
        <v>96.48</v>
      </c>
      <c r="L26" s="21"/>
      <c r="M26" s="21">
        <f>96.48*6</f>
        <v>578.88</v>
      </c>
    </row>
    <row r="27" spans="1:13" ht="28.5" customHeight="1" x14ac:dyDescent="0.25">
      <c r="A27" s="43"/>
      <c r="B27" s="43"/>
      <c r="C27" s="46"/>
      <c r="D27" s="23" t="s">
        <v>38</v>
      </c>
      <c r="E27" s="21">
        <f>F27+G27+H27+I27+J27+K27+L27+M27</f>
        <v>15227.57257</v>
      </c>
      <c r="F27" s="18">
        <v>7469.0965699999997</v>
      </c>
      <c r="G27" s="21">
        <f>2000+51009.31746-51009.31746+408.84075+349.63525-1000</f>
        <v>1758.4759999999997</v>
      </c>
      <c r="H27" s="21">
        <v>2000</v>
      </c>
      <c r="I27" s="21">
        <v>2000</v>
      </c>
      <c r="J27" s="21">
        <v>2000</v>
      </c>
      <c r="K27" s="21">
        <v>0</v>
      </c>
      <c r="L27" s="21"/>
      <c r="M27" s="21">
        <v>0</v>
      </c>
    </row>
    <row r="28" spans="1:13" ht="56.25" customHeight="1" x14ac:dyDescent="0.25">
      <c r="A28" s="43"/>
      <c r="B28" s="43"/>
      <c r="C28" s="46"/>
      <c r="D28" s="23" t="s">
        <v>12</v>
      </c>
      <c r="E28" s="21">
        <f>SUM(F28:G28)</f>
        <v>0</v>
      </c>
      <c r="F28" s="18">
        <v>0</v>
      </c>
      <c r="G28" s="21">
        <v>0</v>
      </c>
      <c r="H28" s="21">
        <v>0</v>
      </c>
      <c r="I28" s="33">
        <v>0</v>
      </c>
      <c r="J28" s="33">
        <v>0</v>
      </c>
      <c r="K28" s="33">
        <v>0</v>
      </c>
      <c r="L28" s="33"/>
      <c r="M28" s="33">
        <v>0</v>
      </c>
    </row>
    <row r="29" spans="1:13" ht="56.25" customHeight="1" x14ac:dyDescent="0.25">
      <c r="A29" s="43"/>
      <c r="B29" s="43"/>
      <c r="C29" s="46"/>
      <c r="D29" s="24" t="s">
        <v>35</v>
      </c>
      <c r="E29" s="21">
        <f>SUM(F29:G29)</f>
        <v>0</v>
      </c>
      <c r="F29" s="18">
        <v>0</v>
      </c>
      <c r="G29" s="21">
        <v>0</v>
      </c>
      <c r="H29" s="21">
        <v>0</v>
      </c>
      <c r="I29" s="33">
        <v>0</v>
      </c>
      <c r="J29" s="33">
        <v>0</v>
      </c>
      <c r="K29" s="33">
        <v>0</v>
      </c>
      <c r="L29" s="33"/>
      <c r="M29" s="33">
        <v>0</v>
      </c>
    </row>
    <row r="30" spans="1:13" ht="20.25" customHeight="1" x14ac:dyDescent="0.25">
      <c r="A30" s="43"/>
      <c r="B30" s="43"/>
      <c r="C30" s="46"/>
      <c r="D30" s="23" t="s">
        <v>15</v>
      </c>
      <c r="E30" s="21">
        <f>SUM(F30:G30)+H30+I30+J30+K30+L30+M30</f>
        <v>419862.79999999993</v>
      </c>
      <c r="F30" s="18">
        <v>0</v>
      </c>
      <c r="G30" s="21">
        <f>36072.07254-36072.07254</f>
        <v>0</v>
      </c>
      <c r="H30" s="21">
        <f>161055.93</f>
        <v>161055.93</v>
      </c>
      <c r="I30" s="21">
        <v>112135.15</v>
      </c>
      <c r="J30" s="21">
        <f>132671.72</f>
        <v>132671.72</v>
      </c>
      <c r="K30" s="21">
        <v>2000</v>
      </c>
      <c r="L30" s="21">
        <v>0</v>
      </c>
      <c r="M30" s="21">
        <f>2000*6</f>
        <v>12000</v>
      </c>
    </row>
    <row r="31" spans="1:13" ht="30.75" customHeight="1" x14ac:dyDescent="0.25">
      <c r="A31" s="43"/>
      <c r="B31" s="43"/>
      <c r="C31" s="42" t="s">
        <v>41</v>
      </c>
      <c r="D31" s="22" t="s">
        <v>10</v>
      </c>
      <c r="E31" s="35">
        <f>SUM(F31:G31)+H31+I31+J31+K31+L31+M31</f>
        <v>12175.928970000001</v>
      </c>
      <c r="F31" s="19">
        <f>F32+F33+F34+F35+F36+F37</f>
        <v>7309.48</v>
      </c>
      <c r="G31" s="35">
        <f>G32+G33+G34+G35+G36+G37</f>
        <v>4625.0689700000003</v>
      </c>
      <c r="H31" s="35">
        <f t="shared" ref="H31:M31" si="3">H32+H33+H34+H35+H36+H37</f>
        <v>24.18</v>
      </c>
      <c r="I31" s="35">
        <f t="shared" si="3"/>
        <v>24.18</v>
      </c>
      <c r="J31" s="35">
        <f t="shared" si="3"/>
        <v>24.18</v>
      </c>
      <c r="K31" s="35">
        <f t="shared" si="3"/>
        <v>24.12</v>
      </c>
      <c r="L31" s="35">
        <f t="shared" si="3"/>
        <v>0</v>
      </c>
      <c r="M31" s="35">
        <f t="shared" si="3"/>
        <v>144.72</v>
      </c>
    </row>
    <row r="32" spans="1:13" ht="33.75" customHeight="1" x14ac:dyDescent="0.25">
      <c r="A32" s="43"/>
      <c r="B32" s="43"/>
      <c r="C32" s="44"/>
      <c r="D32" s="23" t="s">
        <v>11</v>
      </c>
      <c r="E32" s="21">
        <f>SUM(F32:G32)</f>
        <v>0</v>
      </c>
      <c r="F32" s="18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</row>
    <row r="33" spans="1:13" ht="36" customHeight="1" x14ac:dyDescent="0.25">
      <c r="A33" s="43"/>
      <c r="B33" s="43"/>
      <c r="C33" s="44"/>
      <c r="D33" s="23" t="s">
        <v>7</v>
      </c>
      <c r="E33" s="21">
        <f>F33+G33+H33+I33+J33+K33+M33</f>
        <v>1256.8399999999999</v>
      </c>
      <c r="F33" s="18">
        <v>991.28</v>
      </c>
      <c r="G33" s="21">
        <f>24.12+0.06</f>
        <v>24.18</v>
      </c>
      <c r="H33" s="21">
        <v>24.18</v>
      </c>
      <c r="I33" s="21">
        <v>24.18</v>
      </c>
      <c r="J33" s="21">
        <v>24.18</v>
      </c>
      <c r="K33" s="21">
        <v>24.12</v>
      </c>
      <c r="L33" s="21"/>
      <c r="M33" s="21">
        <f>24.12*6</f>
        <v>144.72</v>
      </c>
    </row>
    <row r="34" spans="1:13" ht="30" customHeight="1" x14ac:dyDescent="0.25">
      <c r="A34" s="43"/>
      <c r="B34" s="43"/>
      <c r="C34" s="44"/>
      <c r="D34" s="23" t="s">
        <v>8</v>
      </c>
      <c r="E34" s="21">
        <f>SUM(F34:G34)</f>
        <v>10919.088970000001</v>
      </c>
      <c r="F34" s="20">
        <v>6318.2</v>
      </c>
      <c r="G34" s="21">
        <v>4600.88897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</row>
    <row r="35" spans="1:13" ht="60.75" customHeight="1" x14ac:dyDescent="0.25">
      <c r="A35" s="43"/>
      <c r="B35" s="43"/>
      <c r="C35" s="44"/>
      <c r="D35" s="23" t="s">
        <v>12</v>
      </c>
      <c r="E35" s="21">
        <f>SUM(F35:G35)</f>
        <v>0</v>
      </c>
      <c r="F35" s="18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</row>
    <row r="36" spans="1:13" ht="46.5" customHeight="1" x14ac:dyDescent="0.25">
      <c r="A36" s="43"/>
      <c r="B36" s="43"/>
      <c r="C36" s="44"/>
      <c r="D36" s="24" t="s">
        <v>35</v>
      </c>
      <c r="E36" s="21">
        <f>SUM(F36:G36)</f>
        <v>0</v>
      </c>
      <c r="F36" s="18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</row>
    <row r="37" spans="1:13" ht="20.25" customHeight="1" x14ac:dyDescent="0.25">
      <c r="A37" s="43"/>
      <c r="B37" s="43"/>
      <c r="C37" s="45"/>
      <c r="D37" s="23" t="s">
        <v>15</v>
      </c>
      <c r="E37" s="21">
        <f>SUM(F37:G37)</f>
        <v>0</v>
      </c>
      <c r="F37" s="18">
        <v>0</v>
      </c>
      <c r="G37" s="21">
        <v>0</v>
      </c>
      <c r="H37" s="21">
        <v>0</v>
      </c>
      <c r="I37" s="33">
        <v>0</v>
      </c>
      <c r="J37" s="33">
        <v>0</v>
      </c>
      <c r="K37" s="33">
        <v>0</v>
      </c>
      <c r="L37" s="33"/>
      <c r="M37" s="33">
        <v>0</v>
      </c>
    </row>
    <row r="38" spans="1:13" ht="28.5" customHeight="1" x14ac:dyDescent="0.25">
      <c r="A38" s="42">
        <v>3</v>
      </c>
      <c r="B38" s="42" t="s">
        <v>44</v>
      </c>
      <c r="C38" s="46" t="s">
        <v>40</v>
      </c>
      <c r="D38" s="22" t="s">
        <v>10</v>
      </c>
      <c r="E38" s="35">
        <f>F38+G38+H38+I38+J38</f>
        <v>73329.21712999999</v>
      </c>
      <c r="F38" s="19">
        <f>F39+F40+F41+F42+F44</f>
        <v>11398.41713</v>
      </c>
      <c r="G38" s="35">
        <f>G39+G40+G41+G42+G44</f>
        <v>16482.7</v>
      </c>
      <c r="H38" s="35">
        <f t="shared" ref="H38:M38" si="4">H39+H40+H41+H42+H44</f>
        <v>12482.7</v>
      </c>
      <c r="I38" s="35">
        <f t="shared" si="4"/>
        <v>16482.7</v>
      </c>
      <c r="J38" s="35">
        <f t="shared" si="4"/>
        <v>16482.7</v>
      </c>
      <c r="K38" s="35">
        <f t="shared" si="4"/>
        <v>0</v>
      </c>
      <c r="L38" s="35">
        <f t="shared" si="4"/>
        <v>0</v>
      </c>
      <c r="M38" s="35">
        <f t="shared" si="4"/>
        <v>0</v>
      </c>
    </row>
    <row r="39" spans="1:13" ht="25.5" customHeight="1" x14ac:dyDescent="0.25">
      <c r="A39" s="43"/>
      <c r="B39" s="43"/>
      <c r="C39" s="46"/>
      <c r="D39" s="23" t="s">
        <v>11</v>
      </c>
      <c r="E39" s="35">
        <f t="shared" ref="E39:E57" si="5">F39+G39</f>
        <v>0</v>
      </c>
      <c r="F39" s="18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</row>
    <row r="40" spans="1:13" ht="35.25" customHeight="1" x14ac:dyDescent="0.25">
      <c r="A40" s="43"/>
      <c r="B40" s="43"/>
      <c r="C40" s="46"/>
      <c r="D40" s="23" t="s">
        <v>7</v>
      </c>
      <c r="E40" s="21">
        <f t="shared" si="5"/>
        <v>0</v>
      </c>
      <c r="F40" s="18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</row>
    <row r="41" spans="1:13" ht="18" customHeight="1" x14ac:dyDescent="0.25">
      <c r="A41" s="43"/>
      <c r="B41" s="43"/>
      <c r="C41" s="46"/>
      <c r="D41" s="23" t="s">
        <v>8</v>
      </c>
      <c r="E41" s="21">
        <f>F41+G41+H41+I41+J41</f>
        <v>73329.21712999999</v>
      </c>
      <c r="F41" s="18">
        <v>11398.41713</v>
      </c>
      <c r="G41" s="21">
        <f>819+15663.7</f>
        <v>16482.7</v>
      </c>
      <c r="H41" s="21">
        <f>819+11663.7</f>
        <v>12482.7</v>
      </c>
      <c r="I41" s="21">
        <f>819+15663.7</f>
        <v>16482.7</v>
      </c>
      <c r="J41" s="21">
        <f>819+15663.7</f>
        <v>16482.7</v>
      </c>
      <c r="K41" s="21">
        <v>0</v>
      </c>
      <c r="L41" s="21">
        <v>0</v>
      </c>
      <c r="M41" s="21">
        <v>0</v>
      </c>
    </row>
    <row r="42" spans="1:13" ht="51" customHeight="1" x14ac:dyDescent="0.25">
      <c r="A42" s="43"/>
      <c r="B42" s="43"/>
      <c r="C42" s="46"/>
      <c r="D42" s="23" t="s">
        <v>12</v>
      </c>
      <c r="E42" s="35">
        <f t="shared" si="5"/>
        <v>0</v>
      </c>
      <c r="F42" s="18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</row>
    <row r="43" spans="1:13" ht="51" customHeight="1" x14ac:dyDescent="0.25">
      <c r="A43" s="43"/>
      <c r="B43" s="43"/>
      <c r="C43" s="46"/>
      <c r="D43" s="24" t="s">
        <v>36</v>
      </c>
      <c r="E43" s="35">
        <f t="shared" si="5"/>
        <v>0</v>
      </c>
      <c r="F43" s="18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</row>
    <row r="44" spans="1:13" ht="17.25" customHeight="1" x14ac:dyDescent="0.25">
      <c r="A44" s="43"/>
      <c r="B44" s="43"/>
      <c r="C44" s="46"/>
      <c r="D44" s="23" t="s">
        <v>14</v>
      </c>
      <c r="E44" s="21">
        <f t="shared" si="5"/>
        <v>0</v>
      </c>
      <c r="F44" s="18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</row>
    <row r="45" spans="1:13" ht="17.25" customHeight="1" x14ac:dyDescent="0.25">
      <c r="A45" s="43"/>
      <c r="B45" s="43"/>
      <c r="C45" s="42" t="s">
        <v>42</v>
      </c>
      <c r="D45" s="22" t="s">
        <v>10</v>
      </c>
      <c r="E45" s="35">
        <f t="shared" ref="E45:E50" si="6">F45+G45</f>
        <v>3145</v>
      </c>
      <c r="F45" s="19">
        <f>F46+F47+F48+F49+F51</f>
        <v>3145</v>
      </c>
      <c r="G45" s="35">
        <f>G46+G47+G48+G49+G51</f>
        <v>0</v>
      </c>
      <c r="H45" s="35">
        <f t="shared" ref="H45:M45" si="7">H46+H47+H48+H49+H51</f>
        <v>0</v>
      </c>
      <c r="I45" s="35">
        <f t="shared" si="7"/>
        <v>0</v>
      </c>
      <c r="J45" s="35">
        <f t="shared" si="7"/>
        <v>0</v>
      </c>
      <c r="K45" s="35">
        <f t="shared" si="7"/>
        <v>0</v>
      </c>
      <c r="L45" s="35">
        <f t="shared" si="7"/>
        <v>0</v>
      </c>
      <c r="M45" s="35">
        <f t="shared" si="7"/>
        <v>0</v>
      </c>
    </row>
    <row r="46" spans="1:13" ht="17.25" customHeight="1" x14ac:dyDescent="0.25">
      <c r="A46" s="43"/>
      <c r="B46" s="43"/>
      <c r="C46" s="43"/>
      <c r="D46" s="23" t="s">
        <v>11</v>
      </c>
      <c r="E46" s="35">
        <f t="shared" si="6"/>
        <v>0</v>
      </c>
      <c r="F46" s="18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</row>
    <row r="47" spans="1:13" ht="34.5" customHeight="1" x14ac:dyDescent="0.25">
      <c r="A47" s="43"/>
      <c r="B47" s="43"/>
      <c r="C47" s="43"/>
      <c r="D47" s="23" t="s">
        <v>7</v>
      </c>
      <c r="E47" s="21">
        <f t="shared" si="6"/>
        <v>0</v>
      </c>
      <c r="F47" s="18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</row>
    <row r="48" spans="1:13" ht="17.25" customHeight="1" x14ac:dyDescent="0.25">
      <c r="A48" s="43"/>
      <c r="B48" s="43"/>
      <c r="C48" s="43"/>
      <c r="D48" s="23" t="s">
        <v>8</v>
      </c>
      <c r="E48" s="21">
        <f t="shared" si="6"/>
        <v>3145</v>
      </c>
      <c r="F48" s="18">
        <f>3700-555</f>
        <v>3145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</row>
    <row r="49" spans="1:13" ht="39.75" customHeight="1" x14ac:dyDescent="0.25">
      <c r="A49" s="43"/>
      <c r="B49" s="43"/>
      <c r="C49" s="43"/>
      <c r="D49" s="23" t="s">
        <v>12</v>
      </c>
      <c r="E49" s="35">
        <f t="shared" si="6"/>
        <v>0</v>
      </c>
      <c r="F49" s="18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</row>
    <row r="50" spans="1:13" ht="17.25" customHeight="1" x14ac:dyDescent="0.25">
      <c r="A50" s="43"/>
      <c r="B50" s="43"/>
      <c r="C50" s="43"/>
      <c r="D50" s="24" t="s">
        <v>35</v>
      </c>
      <c r="E50" s="35">
        <f t="shared" si="6"/>
        <v>0</v>
      </c>
      <c r="F50" s="18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</row>
    <row r="51" spans="1:13" ht="17.25" customHeight="1" x14ac:dyDescent="0.25">
      <c r="A51" s="43"/>
      <c r="B51" s="43"/>
      <c r="C51" s="49"/>
      <c r="D51" s="23" t="s">
        <v>14</v>
      </c>
      <c r="E51" s="21">
        <f>F51+G51+H51+I51+J51+K51+L51+M51</f>
        <v>0</v>
      </c>
      <c r="F51" s="18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/>
      <c r="M51" s="21">
        <v>0</v>
      </c>
    </row>
    <row r="52" spans="1:13" ht="17.25" customHeight="1" x14ac:dyDescent="0.25">
      <c r="A52" s="44"/>
      <c r="B52" s="44"/>
      <c r="C52" s="46" t="s">
        <v>25</v>
      </c>
      <c r="D52" s="22" t="s">
        <v>10</v>
      </c>
      <c r="E52" s="35">
        <f>E53+E54+E55+E56+E57+E58</f>
        <v>565416.08230000001</v>
      </c>
      <c r="F52" s="19">
        <f>F53+F54+F55+F56+F58</f>
        <v>11576.568719999999</v>
      </c>
      <c r="G52" s="35">
        <f>G53+G54+G55+G56+G58</f>
        <v>11143.686320000001</v>
      </c>
      <c r="H52" s="35">
        <f t="shared" ref="H52:M52" si="8">H53+H54+H55+H56+H58</f>
        <v>60154.787260000005</v>
      </c>
      <c r="I52" s="35">
        <f t="shared" si="8"/>
        <v>227200</v>
      </c>
      <c r="J52" s="35">
        <f t="shared" si="8"/>
        <v>29456.93</v>
      </c>
      <c r="K52" s="35">
        <f t="shared" si="8"/>
        <v>191427</v>
      </c>
      <c r="L52" s="35">
        <f t="shared" si="8"/>
        <v>0</v>
      </c>
      <c r="M52" s="35">
        <f t="shared" si="8"/>
        <v>34457.11</v>
      </c>
    </row>
    <row r="53" spans="1:13" ht="22.5" customHeight="1" x14ac:dyDescent="0.25">
      <c r="A53" s="44"/>
      <c r="B53" s="44"/>
      <c r="C53" s="46"/>
      <c r="D53" s="23" t="s">
        <v>11</v>
      </c>
      <c r="E53" s="35">
        <f t="shared" si="5"/>
        <v>0</v>
      </c>
      <c r="F53" s="18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</row>
    <row r="54" spans="1:13" ht="33.75" customHeight="1" x14ac:dyDescent="0.25">
      <c r="A54" s="44"/>
      <c r="B54" s="44"/>
      <c r="C54" s="46"/>
      <c r="D54" s="23" t="s">
        <v>7</v>
      </c>
      <c r="E54" s="21">
        <f t="shared" si="5"/>
        <v>0</v>
      </c>
      <c r="F54" s="18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</row>
    <row r="55" spans="1:13" ht="24.75" customHeight="1" x14ac:dyDescent="0.25">
      <c r="A55" s="44"/>
      <c r="B55" s="44"/>
      <c r="C55" s="46"/>
      <c r="D55" s="23" t="s">
        <v>8</v>
      </c>
      <c r="E55" s="21">
        <f>F55+G55+H55</f>
        <v>25769.161359999998</v>
      </c>
      <c r="F55" s="18">
        <v>11576.568719999999</v>
      </c>
      <c r="G55" s="21">
        <f>8094.78+3048.90632</f>
        <v>11143.686320000001</v>
      </c>
      <c r="H55" s="21">
        <v>3048.9063200000001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</row>
    <row r="56" spans="1:13" ht="48.75" customHeight="1" x14ac:dyDescent="0.25">
      <c r="A56" s="44"/>
      <c r="B56" s="44"/>
      <c r="C56" s="46"/>
      <c r="D56" s="23" t="s">
        <v>12</v>
      </c>
      <c r="E56" s="35">
        <f t="shared" si="5"/>
        <v>0</v>
      </c>
      <c r="F56" s="18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</row>
    <row r="57" spans="1:13" ht="48.75" customHeight="1" x14ac:dyDescent="0.25">
      <c r="A57" s="44"/>
      <c r="B57" s="44"/>
      <c r="C57" s="46"/>
      <c r="D57" s="24" t="s">
        <v>35</v>
      </c>
      <c r="E57" s="35">
        <f t="shared" si="5"/>
        <v>0</v>
      </c>
      <c r="F57" s="18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</row>
    <row r="58" spans="1:13" ht="36.75" customHeight="1" x14ac:dyDescent="0.25">
      <c r="A58" s="45"/>
      <c r="B58" s="45"/>
      <c r="C58" s="46"/>
      <c r="D58" s="23" t="s">
        <v>14</v>
      </c>
      <c r="E58" s="21">
        <f>F58+G58+H58+I58+J58+K58+L58+M58</f>
        <v>539646.92093999998</v>
      </c>
      <c r="F58" s="18">
        <v>0</v>
      </c>
      <c r="G58" s="21">
        <v>0</v>
      </c>
      <c r="H58" s="21">
        <f>10845.88094+15000+15000+4200+12060</f>
        <v>57105.880940000003</v>
      </c>
      <c r="I58" s="21">
        <f>25000+15000+37000+150200</f>
        <v>227200</v>
      </c>
      <c r="J58" s="21">
        <f>2984.19+11472.74+15000</f>
        <v>29456.93</v>
      </c>
      <c r="K58" s="21">
        <f>11427+180000</f>
        <v>191427</v>
      </c>
      <c r="L58" s="21"/>
      <c r="M58" s="21">
        <f>12142.73+10886.64+11427.74</f>
        <v>34457.11</v>
      </c>
    </row>
    <row r="59" spans="1:13" ht="27" customHeight="1" x14ac:dyDescent="0.25">
      <c r="A59" s="68">
        <v>4</v>
      </c>
      <c r="B59" s="42" t="s">
        <v>50</v>
      </c>
      <c r="C59" s="42" t="s">
        <v>24</v>
      </c>
      <c r="D59" s="22" t="s">
        <v>10</v>
      </c>
      <c r="E59" s="35">
        <f>E60+E61+E62+E63+E64+E65</f>
        <v>0</v>
      </c>
      <c r="F59" s="19">
        <f>F60+F61+F62+F63+F65</f>
        <v>0</v>
      </c>
      <c r="G59" s="35">
        <f>G60+G61+G62+G63+G65</f>
        <v>0</v>
      </c>
      <c r="H59" s="35">
        <f t="shared" ref="H59:M59" si="9">H60+H61+H62+H63+H65</f>
        <v>0</v>
      </c>
      <c r="I59" s="35">
        <f t="shared" si="9"/>
        <v>0</v>
      </c>
      <c r="J59" s="35">
        <f t="shared" si="9"/>
        <v>0</v>
      </c>
      <c r="K59" s="35">
        <f t="shared" si="9"/>
        <v>0</v>
      </c>
      <c r="L59" s="35">
        <f t="shared" si="9"/>
        <v>0</v>
      </c>
      <c r="M59" s="35">
        <f t="shared" si="9"/>
        <v>0</v>
      </c>
    </row>
    <row r="60" spans="1:13" ht="27" customHeight="1" x14ac:dyDescent="0.25">
      <c r="A60" s="44"/>
      <c r="B60" s="44"/>
      <c r="C60" s="44"/>
      <c r="D60" s="23" t="s">
        <v>11</v>
      </c>
      <c r="E60" s="35">
        <f t="shared" ref="E60:E64" si="10">F60+G60</f>
        <v>0</v>
      </c>
      <c r="F60" s="18">
        <v>0</v>
      </c>
      <c r="G60" s="21">
        <v>0</v>
      </c>
      <c r="H60" s="21">
        <v>0</v>
      </c>
      <c r="I60" s="33">
        <v>0</v>
      </c>
      <c r="J60" s="33">
        <v>0</v>
      </c>
      <c r="K60" s="33">
        <v>0</v>
      </c>
      <c r="L60" s="33"/>
      <c r="M60" s="33">
        <v>0</v>
      </c>
    </row>
    <row r="61" spans="1:13" ht="27" customHeight="1" x14ac:dyDescent="0.25">
      <c r="A61" s="44"/>
      <c r="B61" s="44"/>
      <c r="C61" s="44"/>
      <c r="D61" s="23" t="s">
        <v>7</v>
      </c>
      <c r="E61" s="35">
        <f t="shared" si="10"/>
        <v>0</v>
      </c>
      <c r="F61" s="18">
        <v>0</v>
      </c>
      <c r="G61" s="21">
        <v>0</v>
      </c>
      <c r="H61" s="21">
        <v>0</v>
      </c>
      <c r="I61" s="33">
        <v>0</v>
      </c>
      <c r="J61" s="33">
        <v>0</v>
      </c>
      <c r="K61" s="33">
        <v>0</v>
      </c>
      <c r="L61" s="33"/>
      <c r="M61" s="33">
        <v>0</v>
      </c>
    </row>
    <row r="62" spans="1:13" ht="27" customHeight="1" x14ac:dyDescent="0.25">
      <c r="A62" s="44"/>
      <c r="B62" s="44"/>
      <c r="C62" s="44"/>
      <c r="D62" s="23" t="s">
        <v>8</v>
      </c>
      <c r="E62" s="35">
        <f>F62+G62+H62+I62+J62+K62+M62</f>
        <v>0</v>
      </c>
      <c r="F62" s="18">
        <v>0</v>
      </c>
      <c r="G62" s="21">
        <v>0</v>
      </c>
      <c r="H62" s="21">
        <v>0</v>
      </c>
      <c r="I62" s="34">
        <v>0</v>
      </c>
      <c r="J62" s="33">
        <v>0</v>
      </c>
      <c r="K62" s="33">
        <v>0</v>
      </c>
      <c r="L62" s="33"/>
      <c r="M62" s="33">
        <v>0</v>
      </c>
    </row>
    <row r="63" spans="1:13" ht="27" customHeight="1" x14ac:dyDescent="0.25">
      <c r="A63" s="44"/>
      <c r="B63" s="44"/>
      <c r="C63" s="44"/>
      <c r="D63" s="23" t="s">
        <v>12</v>
      </c>
      <c r="E63" s="35">
        <f t="shared" si="10"/>
        <v>0</v>
      </c>
      <c r="F63" s="18">
        <v>0</v>
      </c>
      <c r="G63" s="21">
        <v>0</v>
      </c>
      <c r="H63" s="21">
        <v>0</v>
      </c>
      <c r="I63" s="33">
        <v>0</v>
      </c>
      <c r="J63" s="33">
        <v>0</v>
      </c>
      <c r="K63" s="33">
        <v>0</v>
      </c>
      <c r="L63" s="33"/>
      <c r="M63" s="33">
        <v>0</v>
      </c>
    </row>
    <row r="64" spans="1:13" ht="27" customHeight="1" x14ac:dyDescent="0.25">
      <c r="A64" s="44"/>
      <c r="B64" s="44"/>
      <c r="C64" s="44"/>
      <c r="D64" s="24" t="s">
        <v>35</v>
      </c>
      <c r="E64" s="35">
        <f t="shared" si="10"/>
        <v>0</v>
      </c>
      <c r="F64" s="18">
        <v>0</v>
      </c>
      <c r="G64" s="21">
        <v>0</v>
      </c>
      <c r="H64" s="21">
        <v>0</v>
      </c>
      <c r="I64" s="33">
        <v>0</v>
      </c>
      <c r="J64" s="33">
        <v>0</v>
      </c>
      <c r="K64" s="33">
        <v>0</v>
      </c>
      <c r="L64" s="33"/>
      <c r="M64" s="33">
        <v>0</v>
      </c>
    </row>
    <row r="65" spans="1:13" ht="59.25" customHeight="1" x14ac:dyDescent="0.25">
      <c r="A65" s="45"/>
      <c r="B65" s="45"/>
      <c r="C65" s="45"/>
      <c r="D65" s="23" t="s">
        <v>14</v>
      </c>
      <c r="E65" s="21">
        <f>F65+G65+H65+I65+J65+K65+M65</f>
        <v>0</v>
      </c>
      <c r="F65" s="18">
        <f>100-100</f>
        <v>0</v>
      </c>
      <c r="G65" s="21">
        <v>0</v>
      </c>
      <c r="H65" s="21">
        <v>0</v>
      </c>
      <c r="I65" s="36">
        <v>0</v>
      </c>
      <c r="J65" s="34">
        <v>0</v>
      </c>
      <c r="K65" s="34">
        <v>0</v>
      </c>
      <c r="L65" s="34"/>
      <c r="M65" s="34">
        <v>0</v>
      </c>
    </row>
    <row r="66" spans="1:13" ht="32.25" customHeight="1" x14ac:dyDescent="0.25">
      <c r="A66" s="42">
        <v>5</v>
      </c>
      <c r="B66" s="42" t="s">
        <v>51</v>
      </c>
      <c r="C66" s="42" t="s">
        <v>43</v>
      </c>
      <c r="D66" s="22" t="s">
        <v>10</v>
      </c>
      <c r="E66" s="35">
        <f>E67+E68+E69+E70+E71+E72</f>
        <v>2205419.1431300002</v>
      </c>
      <c r="F66" s="19">
        <f>F67+F68+F69+F70+F72</f>
        <v>44710.328750000001</v>
      </c>
      <c r="G66" s="35">
        <f>G67+G68+G69+G70+G72</f>
        <v>184475.21554999999</v>
      </c>
      <c r="H66" s="35">
        <f t="shared" ref="H66:M66" si="11">H67+H68+H69+H70+H72</f>
        <v>498941.87245000002</v>
      </c>
      <c r="I66" s="35">
        <f t="shared" si="11"/>
        <v>139091.72638000001</v>
      </c>
      <c r="J66" s="35">
        <f t="shared" si="11"/>
        <v>162200</v>
      </c>
      <c r="K66" s="35">
        <f t="shared" si="11"/>
        <v>319000</v>
      </c>
      <c r="L66" s="35">
        <f t="shared" si="11"/>
        <v>0</v>
      </c>
      <c r="M66" s="35">
        <f t="shared" si="11"/>
        <v>857000</v>
      </c>
    </row>
    <row r="67" spans="1:13" ht="26.25" customHeight="1" x14ac:dyDescent="0.25">
      <c r="A67" s="43"/>
      <c r="B67" s="43"/>
      <c r="C67" s="43"/>
      <c r="D67" s="23" t="s">
        <v>11</v>
      </c>
      <c r="E67" s="35">
        <f>F67+G67+H67+I67+J67+K67+M67</f>
        <v>0</v>
      </c>
      <c r="F67" s="18">
        <v>0</v>
      </c>
      <c r="G67" s="21">
        <v>0</v>
      </c>
      <c r="H67" s="21">
        <v>0</v>
      </c>
      <c r="I67" s="34">
        <f>59501-59501</f>
        <v>0</v>
      </c>
      <c r="J67" s="37">
        <v>0</v>
      </c>
      <c r="K67" s="37">
        <v>0</v>
      </c>
      <c r="L67" s="37"/>
      <c r="M67" s="37">
        <v>0</v>
      </c>
    </row>
    <row r="68" spans="1:13" ht="36.75" customHeight="1" x14ac:dyDescent="0.25">
      <c r="A68" s="43"/>
      <c r="B68" s="43"/>
      <c r="C68" s="43"/>
      <c r="D68" s="23" t="s">
        <v>7</v>
      </c>
      <c r="E68" s="35">
        <f>F68+G68+H68+I68+J68+K68+M68</f>
        <v>0</v>
      </c>
      <c r="F68" s="18">
        <v>0</v>
      </c>
      <c r="G68" s="21">
        <v>0</v>
      </c>
      <c r="H68" s="21">
        <f>259333.5-259333.5</f>
        <v>0</v>
      </c>
      <c r="I68" s="34">
        <f>93065.7-93065.7</f>
        <v>0</v>
      </c>
      <c r="J68" s="34">
        <v>0</v>
      </c>
      <c r="K68" s="34">
        <v>0</v>
      </c>
      <c r="L68" s="34"/>
      <c r="M68" s="34">
        <v>0</v>
      </c>
    </row>
    <row r="69" spans="1:13" ht="36.75" customHeight="1" x14ac:dyDescent="0.25">
      <c r="A69" s="43"/>
      <c r="B69" s="43"/>
      <c r="C69" s="43"/>
      <c r="D69" s="23" t="s">
        <v>8</v>
      </c>
      <c r="E69" s="35">
        <f>F69+G69+H69+I69+J69+K69+M69</f>
        <v>378783.36933000002</v>
      </c>
      <c r="F69" s="18">
        <f>51028.52875-6318.2</f>
        <v>44710.328750000001</v>
      </c>
      <c r="G69" s="21">
        <f>500+12500+41318.05+5000+8443.79+3231.94644+79500+51009.31746-2729.09833-6457.15342-7009.31578-832.32082</f>
        <v>184475.21554999999</v>
      </c>
      <c r="H69" s="21">
        <f>71670.64452+5546.6+79500-45000+2401.37423+6819.60516+1121.75612+22407.70702+5130.13798</f>
        <v>149597.82503000001</v>
      </c>
      <c r="I69" s="34">
        <v>0</v>
      </c>
      <c r="J69" s="34">
        <v>0</v>
      </c>
      <c r="K69" s="34">
        <v>0</v>
      </c>
      <c r="L69" s="34"/>
      <c r="M69" s="34">
        <v>0</v>
      </c>
    </row>
    <row r="70" spans="1:13" ht="41.25" customHeight="1" x14ac:dyDescent="0.25">
      <c r="A70" s="43"/>
      <c r="B70" s="43"/>
      <c r="C70" s="43"/>
      <c r="D70" s="23" t="s">
        <v>12</v>
      </c>
      <c r="E70" s="35">
        <f t="shared" ref="E70:E71" si="12">F70+G70</f>
        <v>0</v>
      </c>
      <c r="F70" s="18">
        <v>0</v>
      </c>
      <c r="G70" s="21">
        <v>0</v>
      </c>
      <c r="H70" s="21">
        <v>0</v>
      </c>
      <c r="I70" s="34">
        <v>0</v>
      </c>
      <c r="J70" s="34">
        <v>0</v>
      </c>
      <c r="K70" s="34">
        <v>0</v>
      </c>
      <c r="L70" s="34"/>
      <c r="M70" s="34">
        <v>0</v>
      </c>
    </row>
    <row r="71" spans="1:13" ht="39.75" customHeight="1" x14ac:dyDescent="0.25">
      <c r="A71" s="43"/>
      <c r="B71" s="43"/>
      <c r="C71" s="43"/>
      <c r="D71" s="24" t="s">
        <v>35</v>
      </c>
      <c r="E71" s="35">
        <f t="shared" si="12"/>
        <v>0</v>
      </c>
      <c r="F71" s="18">
        <v>0</v>
      </c>
      <c r="G71" s="21">
        <v>0</v>
      </c>
      <c r="H71" s="21">
        <v>0</v>
      </c>
      <c r="I71" s="34">
        <v>0</v>
      </c>
      <c r="J71" s="34">
        <v>0</v>
      </c>
      <c r="K71" s="34">
        <v>0</v>
      </c>
      <c r="L71" s="34"/>
      <c r="M71" s="34">
        <v>0</v>
      </c>
    </row>
    <row r="72" spans="1:13" ht="30.75" customHeight="1" x14ac:dyDescent="0.25">
      <c r="A72" s="49"/>
      <c r="B72" s="49"/>
      <c r="C72" s="49"/>
      <c r="D72" s="23" t="s">
        <v>14</v>
      </c>
      <c r="E72" s="21">
        <f>F72+G72+H72+I72+J72+K72+M72</f>
        <v>1826635.7738000001</v>
      </c>
      <c r="F72" s="18">
        <v>0</v>
      </c>
      <c r="G72" s="21">
        <v>0</v>
      </c>
      <c r="H72" s="21">
        <f>109574.37742+7000+111769.67+6000+15000+100000</f>
        <v>349344.04742000002</v>
      </c>
      <c r="I72" s="34">
        <f>53640.75258+80000+5450.9738</f>
        <v>139091.72638000001</v>
      </c>
      <c r="J72" s="34">
        <f>130000+2200+15000+15000</f>
        <v>162200</v>
      </c>
      <c r="K72" s="34">
        <f>130000+130000+15000+4000+5000+5000+5000+5000+5000+5000+5000+5000</f>
        <v>319000</v>
      </c>
      <c r="L72" s="34"/>
      <c r="M72" s="34">
        <f>130000+130000+130000+60000+80000+50000+50000+50000+50000+50000+50000+27000</f>
        <v>857000</v>
      </c>
    </row>
    <row r="73" spans="1:13" ht="30.75" customHeight="1" x14ac:dyDescent="0.25">
      <c r="A73" s="42">
        <v>6</v>
      </c>
      <c r="B73" s="42" t="s">
        <v>59</v>
      </c>
      <c r="C73" s="42" t="s">
        <v>43</v>
      </c>
      <c r="D73" s="22" t="s">
        <v>10</v>
      </c>
      <c r="E73" s="35">
        <f>E74+E75+E76+E77+E78+E79</f>
        <v>500000</v>
      </c>
      <c r="F73" s="19">
        <f>F74+F75+F76+F77+F79</f>
        <v>0</v>
      </c>
      <c r="G73" s="35">
        <f>G74+G75+G76+G77+G79</f>
        <v>0</v>
      </c>
      <c r="H73" s="35">
        <f t="shared" ref="H73:M73" si="13">H74+H75+H76+H77+H79</f>
        <v>324166.90000000002</v>
      </c>
      <c r="I73" s="35">
        <f t="shared" si="13"/>
        <v>175833.1</v>
      </c>
      <c r="J73" s="35">
        <f t="shared" si="13"/>
        <v>0</v>
      </c>
      <c r="K73" s="35">
        <f t="shared" si="13"/>
        <v>0</v>
      </c>
      <c r="L73" s="35">
        <f t="shared" si="13"/>
        <v>0</v>
      </c>
      <c r="M73" s="35">
        <f t="shared" si="13"/>
        <v>0</v>
      </c>
    </row>
    <row r="74" spans="1:13" ht="30.75" customHeight="1" x14ac:dyDescent="0.25">
      <c r="A74" s="43"/>
      <c r="B74" s="43"/>
      <c r="C74" s="43"/>
      <c r="D74" s="31" t="s">
        <v>11</v>
      </c>
      <c r="E74" s="35">
        <f>F74+G74+H74+I74+J74+K74+M74</f>
        <v>59501</v>
      </c>
      <c r="F74" s="18">
        <v>0</v>
      </c>
      <c r="G74" s="21">
        <v>0</v>
      </c>
      <c r="H74" s="21">
        <v>0</v>
      </c>
      <c r="I74" s="34">
        <v>59501</v>
      </c>
      <c r="J74" s="37">
        <v>0</v>
      </c>
      <c r="K74" s="37">
        <v>0</v>
      </c>
      <c r="L74" s="37"/>
      <c r="M74" s="37">
        <v>0</v>
      </c>
    </row>
    <row r="75" spans="1:13" ht="30.75" customHeight="1" x14ac:dyDescent="0.25">
      <c r="A75" s="43"/>
      <c r="B75" s="43"/>
      <c r="C75" s="43"/>
      <c r="D75" s="31" t="s">
        <v>7</v>
      </c>
      <c r="E75" s="35">
        <f>F75+G75+H75+I75+J75+K75+M75</f>
        <v>352399.2</v>
      </c>
      <c r="F75" s="18">
        <v>0</v>
      </c>
      <c r="G75" s="21">
        <v>0</v>
      </c>
      <c r="H75" s="21">
        <f>259333.5</f>
        <v>259333.5</v>
      </c>
      <c r="I75" s="34">
        <v>93065.7</v>
      </c>
      <c r="J75" s="34">
        <v>0</v>
      </c>
      <c r="K75" s="34">
        <v>0</v>
      </c>
      <c r="L75" s="34"/>
      <c r="M75" s="34">
        <v>0</v>
      </c>
    </row>
    <row r="76" spans="1:13" ht="30.75" customHeight="1" x14ac:dyDescent="0.25">
      <c r="A76" s="43"/>
      <c r="B76" s="43"/>
      <c r="C76" s="43"/>
      <c r="D76" s="31" t="s">
        <v>8</v>
      </c>
      <c r="E76" s="35">
        <f>F76+G76+H76+I76+J76+K76+M76</f>
        <v>88099.8</v>
      </c>
      <c r="F76" s="18">
        <v>0</v>
      </c>
      <c r="G76" s="21">
        <v>0</v>
      </c>
      <c r="H76" s="21">
        <f>64833.4</f>
        <v>64833.4</v>
      </c>
      <c r="I76" s="34">
        <v>23266.400000000001</v>
      </c>
      <c r="J76" s="34">
        <v>0</v>
      </c>
      <c r="K76" s="34">
        <v>0</v>
      </c>
      <c r="L76" s="34"/>
      <c r="M76" s="34">
        <v>0</v>
      </c>
    </row>
    <row r="77" spans="1:13" ht="40.5" customHeight="1" x14ac:dyDescent="0.25">
      <c r="A77" s="43"/>
      <c r="B77" s="43"/>
      <c r="C77" s="43"/>
      <c r="D77" s="31" t="s">
        <v>12</v>
      </c>
      <c r="E77" s="35">
        <f t="shared" ref="E77:E78" si="14">F77+G77</f>
        <v>0</v>
      </c>
      <c r="F77" s="18">
        <v>0</v>
      </c>
      <c r="G77" s="21">
        <v>0</v>
      </c>
      <c r="H77" s="21">
        <v>0</v>
      </c>
      <c r="I77" s="34">
        <v>0</v>
      </c>
      <c r="J77" s="34">
        <v>0</v>
      </c>
      <c r="K77" s="34">
        <v>0</v>
      </c>
      <c r="L77" s="34"/>
      <c r="M77" s="34">
        <v>0</v>
      </c>
    </row>
    <row r="78" spans="1:13" ht="43.5" customHeight="1" x14ac:dyDescent="0.25">
      <c r="A78" s="43"/>
      <c r="B78" s="43"/>
      <c r="C78" s="43"/>
      <c r="D78" s="24" t="s">
        <v>35</v>
      </c>
      <c r="E78" s="35">
        <f t="shared" si="14"/>
        <v>0</v>
      </c>
      <c r="F78" s="18">
        <v>0</v>
      </c>
      <c r="G78" s="21">
        <v>0</v>
      </c>
      <c r="H78" s="21">
        <v>0</v>
      </c>
      <c r="I78" s="34">
        <v>0</v>
      </c>
      <c r="J78" s="34">
        <v>0</v>
      </c>
      <c r="K78" s="34">
        <v>0</v>
      </c>
      <c r="L78" s="34"/>
      <c r="M78" s="34">
        <v>0</v>
      </c>
    </row>
    <row r="79" spans="1:13" ht="30.75" customHeight="1" x14ac:dyDescent="0.25">
      <c r="A79" s="49"/>
      <c r="B79" s="49"/>
      <c r="C79" s="49"/>
      <c r="D79" s="31" t="s">
        <v>14</v>
      </c>
      <c r="E79" s="21">
        <f>F79+G79+H79+I79+J79+K79+M79</f>
        <v>0</v>
      </c>
      <c r="F79" s="18">
        <v>0</v>
      </c>
      <c r="G79" s="21">
        <v>0</v>
      </c>
      <c r="H79" s="21"/>
      <c r="I79" s="34">
        <v>0</v>
      </c>
      <c r="J79" s="34">
        <v>0</v>
      </c>
      <c r="K79" s="34">
        <v>0</v>
      </c>
      <c r="L79" s="34"/>
      <c r="M79" s="34">
        <v>0</v>
      </c>
    </row>
    <row r="80" spans="1:13" ht="25.5" customHeight="1" x14ac:dyDescent="0.25">
      <c r="A80" s="66" t="s">
        <v>13</v>
      </c>
      <c r="B80" s="66"/>
      <c r="C80" s="66"/>
      <c r="D80" s="25" t="s">
        <v>10</v>
      </c>
      <c r="E80" s="35">
        <f t="shared" ref="E80:E86" si="15">SUM(F80:G80)+H80+I80+J80+K80+L80+M80</f>
        <v>3809933.6515799998</v>
      </c>
      <c r="F80" s="19">
        <f>F81+F82+F83+F84+F86</f>
        <v>86828.804789999995</v>
      </c>
      <c r="G80" s="35">
        <f>G81+G82+G83+G84+G86</f>
        <v>219863.89069999999</v>
      </c>
      <c r="H80" s="35">
        <f t="shared" ref="H80:M80" si="16">H81+H82+H83+H84+H86</f>
        <v>1060216.81971</v>
      </c>
      <c r="I80" s="35">
        <f t="shared" si="16"/>
        <v>674263.57637999998</v>
      </c>
      <c r="J80" s="35">
        <f t="shared" si="16"/>
        <v>344332.25</v>
      </c>
      <c r="K80" s="35">
        <f t="shared" si="16"/>
        <v>513647.6</v>
      </c>
      <c r="L80" s="35">
        <f t="shared" si="16"/>
        <v>0</v>
      </c>
      <c r="M80" s="35">
        <f t="shared" si="16"/>
        <v>910780.71</v>
      </c>
    </row>
    <row r="81" spans="1:13" ht="23.25" customHeight="1" x14ac:dyDescent="0.25">
      <c r="A81" s="66"/>
      <c r="B81" s="66"/>
      <c r="C81" s="66"/>
      <c r="D81" s="25" t="s">
        <v>11</v>
      </c>
      <c r="E81" s="21">
        <f t="shared" si="15"/>
        <v>59501</v>
      </c>
      <c r="F81" s="18">
        <f>F11+F25+F39+F18+F32+F46+F53+F60+F67+F74</f>
        <v>0</v>
      </c>
      <c r="G81" s="21">
        <f t="shared" ref="G81:M81" si="17">G11+G25+G39+G18+G32+G46+G53+G60+G67+G74</f>
        <v>0</v>
      </c>
      <c r="H81" s="21">
        <f t="shared" si="17"/>
        <v>0</v>
      </c>
      <c r="I81" s="21">
        <f t="shared" si="17"/>
        <v>59501</v>
      </c>
      <c r="J81" s="21">
        <f t="shared" si="17"/>
        <v>0</v>
      </c>
      <c r="K81" s="21">
        <f t="shared" si="17"/>
        <v>0</v>
      </c>
      <c r="L81" s="21">
        <f t="shared" si="17"/>
        <v>0</v>
      </c>
      <c r="M81" s="21">
        <f t="shared" si="17"/>
        <v>0</v>
      </c>
    </row>
    <row r="82" spans="1:13" ht="33" customHeight="1" x14ac:dyDescent="0.25">
      <c r="A82" s="66"/>
      <c r="B82" s="66"/>
      <c r="C82" s="66"/>
      <c r="D82" s="25" t="s">
        <v>7</v>
      </c>
      <c r="E82" s="21">
        <f t="shared" si="15"/>
        <v>354811.39999999997</v>
      </c>
      <c r="F82" s="18">
        <f t="shared" ref="F82:M86" si="18">F12+F26+F40+F19+F33+F47+F54+F61+F68+F75</f>
        <v>1084.4000000000001</v>
      </c>
      <c r="G82" s="21">
        <f t="shared" si="18"/>
        <v>120.9</v>
      </c>
      <c r="H82" s="21">
        <f t="shared" si="18"/>
        <v>259454.4</v>
      </c>
      <c r="I82" s="21">
        <f t="shared" si="18"/>
        <v>93186.599999999991</v>
      </c>
      <c r="J82" s="21">
        <f t="shared" si="18"/>
        <v>120.9</v>
      </c>
      <c r="K82" s="21">
        <f t="shared" si="18"/>
        <v>120.60000000000001</v>
      </c>
      <c r="L82" s="21">
        <f t="shared" si="18"/>
        <v>0</v>
      </c>
      <c r="M82" s="21">
        <f t="shared" si="18"/>
        <v>723.6</v>
      </c>
    </row>
    <row r="83" spans="1:13" ht="22.5" customHeight="1" x14ac:dyDescent="0.25">
      <c r="A83" s="66"/>
      <c r="B83" s="66"/>
      <c r="C83" s="66"/>
      <c r="D83" s="25" t="s">
        <v>8</v>
      </c>
      <c r="E83" s="21">
        <f>SUM(F83:G83)+H83+I83+J83+K83+L83+M83</f>
        <v>608775.75683999993</v>
      </c>
      <c r="F83" s="18">
        <f t="shared" si="18"/>
        <v>85744.404790000001</v>
      </c>
      <c r="G83" s="21">
        <f t="shared" si="18"/>
        <v>219742.99069999999</v>
      </c>
      <c r="H83" s="21">
        <f t="shared" si="18"/>
        <v>233256.56135</v>
      </c>
      <c r="I83" s="21">
        <f t="shared" si="18"/>
        <v>43149.100000000006</v>
      </c>
      <c r="J83" s="21">
        <f t="shared" si="18"/>
        <v>19882.7</v>
      </c>
      <c r="K83" s="21">
        <f t="shared" si="18"/>
        <v>1000</v>
      </c>
      <c r="L83" s="21">
        <f t="shared" si="18"/>
        <v>0</v>
      </c>
      <c r="M83" s="21">
        <f t="shared" si="18"/>
        <v>6000</v>
      </c>
    </row>
    <row r="84" spans="1:13" ht="62.25" customHeight="1" x14ac:dyDescent="0.25">
      <c r="A84" s="66"/>
      <c r="B84" s="66"/>
      <c r="C84" s="66"/>
      <c r="D84" s="25" t="s">
        <v>12</v>
      </c>
      <c r="E84" s="21">
        <f t="shared" si="15"/>
        <v>0</v>
      </c>
      <c r="F84" s="18">
        <f t="shared" si="18"/>
        <v>0</v>
      </c>
      <c r="G84" s="21">
        <f t="shared" si="18"/>
        <v>0</v>
      </c>
      <c r="H84" s="21">
        <f t="shared" si="18"/>
        <v>0</v>
      </c>
      <c r="I84" s="21">
        <f t="shared" si="18"/>
        <v>0</v>
      </c>
      <c r="J84" s="21">
        <f t="shared" si="18"/>
        <v>0</v>
      </c>
      <c r="K84" s="21">
        <f t="shared" si="18"/>
        <v>0</v>
      </c>
      <c r="L84" s="21">
        <f t="shared" si="18"/>
        <v>0</v>
      </c>
      <c r="M84" s="21">
        <f t="shared" si="18"/>
        <v>0</v>
      </c>
    </row>
    <row r="85" spans="1:13" ht="62.25" customHeight="1" x14ac:dyDescent="0.25">
      <c r="A85" s="66"/>
      <c r="B85" s="66"/>
      <c r="C85" s="66"/>
      <c r="D85" s="25" t="s">
        <v>35</v>
      </c>
      <c r="E85" s="21">
        <f t="shared" si="15"/>
        <v>0</v>
      </c>
      <c r="F85" s="18">
        <f t="shared" si="18"/>
        <v>0</v>
      </c>
      <c r="G85" s="21">
        <f t="shared" si="18"/>
        <v>0</v>
      </c>
      <c r="H85" s="21">
        <f t="shared" si="18"/>
        <v>0</v>
      </c>
      <c r="I85" s="21">
        <f t="shared" si="18"/>
        <v>0</v>
      </c>
      <c r="J85" s="21">
        <f t="shared" si="18"/>
        <v>0</v>
      </c>
      <c r="K85" s="21">
        <f t="shared" si="18"/>
        <v>0</v>
      </c>
      <c r="L85" s="21">
        <f t="shared" si="18"/>
        <v>0</v>
      </c>
      <c r="M85" s="21">
        <f t="shared" si="18"/>
        <v>0</v>
      </c>
    </row>
    <row r="86" spans="1:13" ht="18.75" customHeight="1" x14ac:dyDescent="0.25">
      <c r="A86" s="66"/>
      <c r="B86" s="66"/>
      <c r="C86" s="66"/>
      <c r="D86" s="25" t="s">
        <v>14</v>
      </c>
      <c r="E86" s="21">
        <f t="shared" si="15"/>
        <v>2786845.49474</v>
      </c>
      <c r="F86" s="18">
        <f t="shared" si="18"/>
        <v>0</v>
      </c>
      <c r="G86" s="21">
        <f t="shared" si="18"/>
        <v>0</v>
      </c>
      <c r="H86" s="21">
        <f t="shared" si="18"/>
        <v>567505.85835999995</v>
      </c>
      <c r="I86" s="21">
        <f t="shared" si="18"/>
        <v>478426.87638000003</v>
      </c>
      <c r="J86" s="21">
        <f t="shared" si="18"/>
        <v>324328.65000000002</v>
      </c>
      <c r="K86" s="21">
        <f t="shared" si="18"/>
        <v>512527</v>
      </c>
      <c r="L86" s="21">
        <f t="shared" si="18"/>
        <v>0</v>
      </c>
      <c r="M86" s="21">
        <f t="shared" si="18"/>
        <v>904057.11</v>
      </c>
    </row>
    <row r="87" spans="1:13" ht="20.25" customHeight="1" x14ac:dyDescent="0.25">
      <c r="A87" s="67" t="s">
        <v>3</v>
      </c>
      <c r="B87" s="67"/>
      <c r="C87" s="67"/>
      <c r="D87" s="24"/>
      <c r="E87" s="35"/>
      <c r="F87" s="19"/>
      <c r="G87" s="35"/>
      <c r="H87" s="35"/>
      <c r="I87" s="33"/>
      <c r="J87" s="33"/>
      <c r="K87" s="33"/>
      <c r="L87" s="33"/>
      <c r="M87" s="33"/>
    </row>
    <row r="88" spans="1:13" ht="19.5" customHeight="1" x14ac:dyDescent="0.25">
      <c r="A88" s="67" t="s">
        <v>19</v>
      </c>
      <c r="B88" s="67"/>
      <c r="C88" s="67"/>
      <c r="D88" s="25" t="s">
        <v>18</v>
      </c>
      <c r="E88" s="35">
        <f>F88+G88+H88+I88+J88+K88+L88+M88</f>
        <v>3405072.93994</v>
      </c>
      <c r="F88" s="19">
        <f>F89+F90+F91+F92+F94</f>
        <v>57852.891979999993</v>
      </c>
      <c r="G88" s="35">
        <f>G89+G90+G91+G92+G94</f>
        <v>195618.90187</v>
      </c>
      <c r="H88" s="35">
        <f t="shared" ref="H88:M88" si="19">H89+H90+H91+H92+H94</f>
        <v>883263.55971000006</v>
      </c>
      <c r="I88" s="35">
        <f t="shared" si="19"/>
        <v>542124.82637999998</v>
      </c>
      <c r="J88" s="35">
        <f t="shared" si="19"/>
        <v>324328.65000000002</v>
      </c>
      <c r="K88" s="35">
        <f t="shared" si="19"/>
        <v>510427</v>
      </c>
      <c r="L88" s="35">
        <f t="shared" si="19"/>
        <v>0</v>
      </c>
      <c r="M88" s="35">
        <f t="shared" si="19"/>
        <v>891457.11</v>
      </c>
    </row>
    <row r="89" spans="1:13" ht="27" customHeight="1" x14ac:dyDescent="0.25">
      <c r="A89" s="67"/>
      <c r="B89" s="67"/>
      <c r="C89" s="67"/>
      <c r="D89" s="24" t="s">
        <v>11</v>
      </c>
      <c r="E89" s="21">
        <f t="shared" ref="E89:E93" si="20">F89+G89+H89+I89+J89+K89+L89+M89</f>
        <v>59501</v>
      </c>
      <c r="F89" s="18">
        <f t="shared" ref="F89" si="21">F25</f>
        <v>0</v>
      </c>
      <c r="G89" s="21">
        <f>G67+G53</f>
        <v>0</v>
      </c>
      <c r="H89" s="21">
        <f t="shared" ref="H89:M89" si="22">H67+H53</f>
        <v>0</v>
      </c>
      <c r="I89" s="21">
        <f t="shared" ref="H89:I91" si="23">I67+I53+I74</f>
        <v>59501</v>
      </c>
      <c r="J89" s="21">
        <f t="shared" si="22"/>
        <v>0</v>
      </c>
      <c r="K89" s="21">
        <f t="shared" si="22"/>
        <v>0</v>
      </c>
      <c r="L89" s="21">
        <f t="shared" si="22"/>
        <v>0</v>
      </c>
      <c r="M89" s="21">
        <f t="shared" si="22"/>
        <v>0</v>
      </c>
    </row>
    <row r="90" spans="1:13" ht="33" customHeight="1" x14ac:dyDescent="0.25">
      <c r="A90" s="67"/>
      <c r="B90" s="67"/>
      <c r="C90" s="67"/>
      <c r="D90" s="24" t="s">
        <v>7</v>
      </c>
      <c r="E90" s="21">
        <f t="shared" si="20"/>
        <v>352399.2</v>
      </c>
      <c r="F90" s="18">
        <v>0</v>
      </c>
      <c r="G90" s="21">
        <f>G68+G54+G75</f>
        <v>0</v>
      </c>
      <c r="H90" s="21">
        <f t="shared" si="23"/>
        <v>259333.5</v>
      </c>
      <c r="I90" s="21">
        <f t="shared" si="23"/>
        <v>93065.7</v>
      </c>
      <c r="J90" s="21">
        <f t="shared" ref="J90:M90" si="24">J68+J54</f>
        <v>0</v>
      </c>
      <c r="K90" s="21">
        <f t="shared" si="24"/>
        <v>0</v>
      </c>
      <c r="L90" s="21">
        <f t="shared" si="24"/>
        <v>0</v>
      </c>
      <c r="M90" s="21">
        <f t="shared" si="24"/>
        <v>0</v>
      </c>
    </row>
    <row r="91" spans="1:13" ht="23.25" customHeight="1" x14ac:dyDescent="0.25">
      <c r="A91" s="67"/>
      <c r="B91" s="67"/>
      <c r="C91" s="67"/>
      <c r="D91" s="24" t="s">
        <v>8</v>
      </c>
      <c r="E91" s="21">
        <f>F91+G91+H91+I91+J91+K91+L91+M91</f>
        <v>494218.32520000002</v>
      </c>
      <c r="F91" s="18">
        <f>F69+F55+1565.99451+F76</f>
        <v>57852.891979999993</v>
      </c>
      <c r="G91" s="21">
        <f>G69+G55+G76</f>
        <v>195618.90187</v>
      </c>
      <c r="H91" s="21">
        <f>H69+H55+H76</f>
        <v>217480.13135000001</v>
      </c>
      <c r="I91" s="21">
        <f t="shared" si="23"/>
        <v>23266.400000000001</v>
      </c>
      <c r="J91" s="21">
        <f t="shared" ref="J91:M91" si="25">J69+J55</f>
        <v>0</v>
      </c>
      <c r="K91" s="21">
        <f t="shared" si="25"/>
        <v>0</v>
      </c>
      <c r="L91" s="21">
        <f t="shared" si="25"/>
        <v>0</v>
      </c>
      <c r="M91" s="21">
        <f t="shared" si="25"/>
        <v>0</v>
      </c>
    </row>
    <row r="92" spans="1:13" ht="46.5" customHeight="1" x14ac:dyDescent="0.25">
      <c r="A92" s="67"/>
      <c r="B92" s="67"/>
      <c r="C92" s="67"/>
      <c r="D92" s="26" t="s">
        <v>12</v>
      </c>
      <c r="E92" s="21">
        <f t="shared" si="20"/>
        <v>0</v>
      </c>
      <c r="F92" s="18">
        <f>F28</f>
        <v>0</v>
      </c>
      <c r="G92" s="21">
        <f t="shared" ref="G92:I94" si="26">G70+G56</f>
        <v>0</v>
      </c>
      <c r="H92" s="21">
        <f t="shared" si="26"/>
        <v>0</v>
      </c>
      <c r="I92" s="21">
        <f t="shared" si="26"/>
        <v>0</v>
      </c>
      <c r="J92" s="21">
        <f t="shared" ref="J92:M92" si="27">J70+J56</f>
        <v>0</v>
      </c>
      <c r="K92" s="21">
        <f t="shared" si="27"/>
        <v>0</v>
      </c>
      <c r="L92" s="21">
        <f t="shared" si="27"/>
        <v>0</v>
      </c>
      <c r="M92" s="21">
        <f t="shared" si="27"/>
        <v>0</v>
      </c>
    </row>
    <row r="93" spans="1:13" ht="46.5" customHeight="1" x14ac:dyDescent="0.25">
      <c r="A93" s="67"/>
      <c r="B93" s="67"/>
      <c r="C93" s="67"/>
      <c r="D93" s="24" t="s">
        <v>35</v>
      </c>
      <c r="E93" s="21">
        <f t="shared" si="20"/>
        <v>0</v>
      </c>
      <c r="F93" s="18">
        <f>F29</f>
        <v>0</v>
      </c>
      <c r="G93" s="21">
        <f t="shared" si="26"/>
        <v>0</v>
      </c>
      <c r="H93" s="21">
        <f t="shared" si="26"/>
        <v>0</v>
      </c>
      <c r="I93" s="21">
        <f t="shared" si="26"/>
        <v>0</v>
      </c>
      <c r="J93" s="21">
        <f t="shared" ref="J93:M93" si="28">J71+J57</f>
        <v>0</v>
      </c>
      <c r="K93" s="21">
        <f t="shared" si="28"/>
        <v>0</v>
      </c>
      <c r="L93" s="21">
        <f t="shared" si="28"/>
        <v>0</v>
      </c>
      <c r="M93" s="21">
        <f t="shared" si="28"/>
        <v>0</v>
      </c>
    </row>
    <row r="94" spans="1:13" ht="22.5" customHeight="1" x14ac:dyDescent="0.25">
      <c r="A94" s="67"/>
      <c r="B94" s="67"/>
      <c r="C94" s="67"/>
      <c r="D94" s="27" t="s">
        <v>15</v>
      </c>
      <c r="E94" s="21">
        <f>F94+G94+H94+I94+J94+K94+L94+M94</f>
        <v>2498954.4147399999</v>
      </c>
      <c r="F94" s="18">
        <f>F58+F30+F72</f>
        <v>0</v>
      </c>
      <c r="G94" s="21">
        <f t="shared" si="26"/>
        <v>0</v>
      </c>
      <c r="H94" s="21">
        <f>H72+H58</f>
        <v>406449.92836000002</v>
      </c>
      <c r="I94" s="21">
        <f t="shared" si="26"/>
        <v>366291.72638000001</v>
      </c>
      <c r="J94" s="21">
        <f>J72+J58+132671.72</f>
        <v>324328.65000000002</v>
      </c>
      <c r="K94" s="21">
        <f t="shared" ref="K94:M94" si="29">K72+K58</f>
        <v>510427</v>
      </c>
      <c r="L94" s="21">
        <f t="shared" si="29"/>
        <v>0</v>
      </c>
      <c r="M94" s="21">
        <f t="shared" si="29"/>
        <v>891457.11</v>
      </c>
    </row>
    <row r="95" spans="1:13" ht="22.5" customHeight="1" x14ac:dyDescent="0.25">
      <c r="A95" s="67" t="s">
        <v>20</v>
      </c>
      <c r="B95" s="67"/>
      <c r="C95" s="67"/>
      <c r="D95" s="25" t="s">
        <v>18</v>
      </c>
      <c r="E95" s="35">
        <f t="shared" ref="E95:E122" si="30">SUM(F95:G95)+H95+I95+J95+K95+L95+M95</f>
        <v>404860.71163999988</v>
      </c>
      <c r="F95" s="19">
        <f>F96+F97+F98+F99+F101</f>
        <v>28975.912810000009</v>
      </c>
      <c r="G95" s="35">
        <f>G96+G97+G98+G99+G101</f>
        <v>24244.988829999995</v>
      </c>
      <c r="H95" s="35">
        <f t="shared" ref="H95:M95" si="31">H96+H97+H98+H99+H101</f>
        <v>176953.25999999992</v>
      </c>
      <c r="I95" s="35">
        <f t="shared" si="31"/>
        <v>132138.75000000003</v>
      </c>
      <c r="J95" s="35">
        <f t="shared" si="31"/>
        <v>20003.600000000002</v>
      </c>
      <c r="K95" s="35">
        <f t="shared" si="31"/>
        <v>3220.6</v>
      </c>
      <c r="L95" s="35">
        <f t="shared" si="31"/>
        <v>0</v>
      </c>
      <c r="M95" s="35">
        <f t="shared" si="31"/>
        <v>19323.599999999999</v>
      </c>
    </row>
    <row r="96" spans="1:13" ht="22.5" customHeight="1" x14ac:dyDescent="0.25">
      <c r="A96" s="67"/>
      <c r="B96" s="67"/>
      <c r="C96" s="67"/>
      <c r="D96" s="24" t="s">
        <v>11</v>
      </c>
      <c r="E96" s="35">
        <f t="shared" si="30"/>
        <v>0</v>
      </c>
      <c r="F96" s="18">
        <f t="shared" ref="F96:M96" si="32">F11+F39</f>
        <v>0</v>
      </c>
      <c r="G96" s="21">
        <f t="shared" si="32"/>
        <v>0</v>
      </c>
      <c r="H96" s="21">
        <f t="shared" si="32"/>
        <v>0</v>
      </c>
      <c r="I96" s="21">
        <f t="shared" si="32"/>
        <v>0</v>
      </c>
      <c r="J96" s="21">
        <f t="shared" si="32"/>
        <v>0</v>
      </c>
      <c r="K96" s="21">
        <f t="shared" si="32"/>
        <v>0</v>
      </c>
      <c r="L96" s="21">
        <f t="shared" si="32"/>
        <v>0</v>
      </c>
      <c r="M96" s="21">
        <f t="shared" si="32"/>
        <v>0</v>
      </c>
    </row>
    <row r="97" spans="1:13" ht="33" customHeight="1" x14ac:dyDescent="0.25">
      <c r="A97" s="67"/>
      <c r="B97" s="67"/>
      <c r="C97" s="67"/>
      <c r="D97" s="24" t="s">
        <v>7</v>
      </c>
      <c r="E97" s="21">
        <f t="shared" si="30"/>
        <v>2412.2000000000003</v>
      </c>
      <c r="F97" s="18">
        <f>F33+F26</f>
        <v>1084.4000000000001</v>
      </c>
      <c r="G97" s="21">
        <f t="shared" ref="G97:M97" si="33">G33+G26</f>
        <v>120.9</v>
      </c>
      <c r="H97" s="21">
        <f t="shared" si="33"/>
        <v>120.9</v>
      </c>
      <c r="I97" s="21">
        <f t="shared" si="33"/>
        <v>120.9</v>
      </c>
      <c r="J97" s="21">
        <f t="shared" si="33"/>
        <v>120.9</v>
      </c>
      <c r="K97" s="21">
        <f t="shared" si="33"/>
        <v>120.60000000000001</v>
      </c>
      <c r="L97" s="21">
        <f t="shared" si="33"/>
        <v>0</v>
      </c>
      <c r="M97" s="21">
        <f t="shared" si="33"/>
        <v>723.6</v>
      </c>
    </row>
    <row r="98" spans="1:13" ht="22.5" customHeight="1" x14ac:dyDescent="0.25">
      <c r="A98" s="67"/>
      <c r="B98" s="67"/>
      <c r="C98" s="67"/>
      <c r="D98" s="24" t="s">
        <v>8</v>
      </c>
      <c r="E98" s="21">
        <f t="shared" si="30"/>
        <v>114557.43164000001</v>
      </c>
      <c r="F98" s="18">
        <f>F83-F91</f>
        <v>27891.512810000007</v>
      </c>
      <c r="G98" s="21">
        <f>G83-G91</f>
        <v>24124.088829999993</v>
      </c>
      <c r="H98" s="21">
        <f t="shared" ref="H98:M98" si="34">H83-H91</f>
        <v>15776.429999999993</v>
      </c>
      <c r="I98" s="21">
        <f t="shared" si="34"/>
        <v>19882.700000000004</v>
      </c>
      <c r="J98" s="21">
        <f t="shared" si="34"/>
        <v>19882.7</v>
      </c>
      <c r="K98" s="21">
        <f t="shared" si="34"/>
        <v>1000</v>
      </c>
      <c r="L98" s="21">
        <f t="shared" si="34"/>
        <v>0</v>
      </c>
      <c r="M98" s="21">
        <f t="shared" si="34"/>
        <v>6000</v>
      </c>
    </row>
    <row r="99" spans="1:13" ht="55.5" customHeight="1" x14ac:dyDescent="0.25">
      <c r="A99" s="67"/>
      <c r="B99" s="67"/>
      <c r="C99" s="67"/>
      <c r="D99" s="24" t="s">
        <v>12</v>
      </c>
      <c r="E99" s="21">
        <f t="shared" si="30"/>
        <v>0</v>
      </c>
      <c r="F99" s="18">
        <f t="shared" ref="F99:M100" si="35">F14+F42</f>
        <v>0</v>
      </c>
      <c r="G99" s="21">
        <f t="shared" si="35"/>
        <v>0</v>
      </c>
      <c r="H99" s="21">
        <f t="shared" si="35"/>
        <v>0</v>
      </c>
      <c r="I99" s="21">
        <f t="shared" si="35"/>
        <v>0</v>
      </c>
      <c r="J99" s="21">
        <f t="shared" si="35"/>
        <v>0</v>
      </c>
      <c r="K99" s="21">
        <f t="shared" si="35"/>
        <v>0</v>
      </c>
      <c r="L99" s="21">
        <f t="shared" si="35"/>
        <v>0</v>
      </c>
      <c r="M99" s="21">
        <f t="shared" si="35"/>
        <v>0</v>
      </c>
    </row>
    <row r="100" spans="1:13" ht="55.5" customHeight="1" x14ac:dyDescent="0.25">
      <c r="A100" s="67"/>
      <c r="B100" s="67"/>
      <c r="C100" s="67"/>
      <c r="D100" s="24" t="s">
        <v>36</v>
      </c>
      <c r="E100" s="21">
        <f t="shared" si="30"/>
        <v>0</v>
      </c>
      <c r="F100" s="18">
        <f t="shared" si="35"/>
        <v>0</v>
      </c>
      <c r="G100" s="21">
        <f t="shared" si="35"/>
        <v>0</v>
      </c>
      <c r="H100" s="21">
        <f t="shared" si="35"/>
        <v>0</v>
      </c>
      <c r="I100" s="21">
        <f t="shared" si="35"/>
        <v>0</v>
      </c>
      <c r="J100" s="21">
        <f t="shared" si="35"/>
        <v>0</v>
      </c>
      <c r="K100" s="21">
        <f t="shared" si="35"/>
        <v>0</v>
      </c>
      <c r="L100" s="21">
        <f t="shared" si="35"/>
        <v>0</v>
      </c>
      <c r="M100" s="21">
        <f t="shared" si="35"/>
        <v>0</v>
      </c>
    </row>
    <row r="101" spans="1:13" ht="22.5" customHeight="1" x14ac:dyDescent="0.25">
      <c r="A101" s="67"/>
      <c r="B101" s="67"/>
      <c r="C101" s="67"/>
      <c r="D101" s="24" t="s">
        <v>14</v>
      </c>
      <c r="E101" s="21">
        <f t="shared" si="30"/>
        <v>287891.07999999996</v>
      </c>
      <c r="F101" s="18">
        <f>F86-F94</f>
        <v>0</v>
      </c>
      <c r="G101" s="21">
        <f>G86-G94</f>
        <v>0</v>
      </c>
      <c r="H101" s="21">
        <f t="shared" ref="H101:M101" si="36">H86-H94</f>
        <v>161055.92999999993</v>
      </c>
      <c r="I101" s="21">
        <f t="shared" si="36"/>
        <v>112135.15000000002</v>
      </c>
      <c r="J101" s="21">
        <f t="shared" si="36"/>
        <v>0</v>
      </c>
      <c r="K101" s="21">
        <f t="shared" si="36"/>
        <v>2100</v>
      </c>
      <c r="L101" s="21">
        <f t="shared" si="36"/>
        <v>0</v>
      </c>
      <c r="M101" s="21">
        <f t="shared" si="36"/>
        <v>12600</v>
      </c>
    </row>
    <row r="102" spans="1:13" ht="17.25" customHeight="1" x14ac:dyDescent="0.25">
      <c r="A102" s="54" t="s">
        <v>23</v>
      </c>
      <c r="B102" s="55"/>
      <c r="C102" s="56"/>
      <c r="D102" s="25" t="s">
        <v>18</v>
      </c>
      <c r="E102" s="35">
        <f>E103+E104+E105+E106+E107+E108</f>
        <v>0</v>
      </c>
      <c r="F102" s="19">
        <f>F103+F104+F105+F106+F108</f>
        <v>0</v>
      </c>
      <c r="G102" s="35">
        <f>G103+G104+G105+G106+G108</f>
        <v>0</v>
      </c>
      <c r="H102" s="35">
        <f t="shared" ref="H102:M102" si="37">H103+H104+H105+H106+H108</f>
        <v>0</v>
      </c>
      <c r="I102" s="35">
        <f t="shared" si="37"/>
        <v>0</v>
      </c>
      <c r="J102" s="35">
        <f t="shared" si="37"/>
        <v>0</v>
      </c>
      <c r="K102" s="35">
        <f t="shared" si="37"/>
        <v>0</v>
      </c>
      <c r="L102" s="35">
        <f t="shared" si="37"/>
        <v>0</v>
      </c>
      <c r="M102" s="35">
        <f t="shared" si="37"/>
        <v>0</v>
      </c>
    </row>
    <row r="103" spans="1:13" ht="20.25" customHeight="1" x14ac:dyDescent="0.25">
      <c r="A103" s="57"/>
      <c r="B103" s="58"/>
      <c r="C103" s="59"/>
      <c r="D103" s="24" t="s">
        <v>11</v>
      </c>
      <c r="E103" s="35">
        <f t="shared" si="30"/>
        <v>0</v>
      </c>
      <c r="F103" s="18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</row>
    <row r="104" spans="1:13" ht="40.5" customHeight="1" x14ac:dyDescent="0.25">
      <c r="A104" s="57"/>
      <c r="B104" s="58"/>
      <c r="C104" s="59"/>
      <c r="D104" s="24" t="s">
        <v>7</v>
      </c>
      <c r="E104" s="35">
        <f t="shared" si="30"/>
        <v>0</v>
      </c>
      <c r="F104" s="18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</row>
    <row r="105" spans="1:13" ht="26.25" customHeight="1" x14ac:dyDescent="0.25">
      <c r="A105" s="57"/>
      <c r="B105" s="58"/>
      <c r="C105" s="59"/>
      <c r="D105" s="24" t="s">
        <v>8</v>
      </c>
      <c r="E105" s="21">
        <f t="shared" si="30"/>
        <v>0</v>
      </c>
      <c r="F105" s="18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f>L13</f>
        <v>0</v>
      </c>
      <c r="M105" s="21">
        <v>0</v>
      </c>
    </row>
    <row r="106" spans="1:13" ht="51.75" customHeight="1" x14ac:dyDescent="0.25">
      <c r="A106" s="57"/>
      <c r="B106" s="58"/>
      <c r="C106" s="59"/>
      <c r="D106" s="24" t="s">
        <v>12</v>
      </c>
      <c r="E106" s="35">
        <f t="shared" si="30"/>
        <v>0</v>
      </c>
      <c r="F106" s="18">
        <f>F14+F63</f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</row>
    <row r="107" spans="1:13" ht="51.75" customHeight="1" x14ac:dyDescent="0.25">
      <c r="A107" s="57"/>
      <c r="B107" s="58"/>
      <c r="C107" s="59"/>
      <c r="D107" s="24" t="s">
        <v>35</v>
      </c>
      <c r="E107" s="35">
        <f t="shared" si="30"/>
        <v>0</v>
      </c>
      <c r="F107" s="18">
        <f>F15+F64</f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</row>
    <row r="108" spans="1:13" ht="21" customHeight="1" x14ac:dyDescent="0.25">
      <c r="A108" s="60"/>
      <c r="B108" s="61"/>
      <c r="C108" s="62"/>
      <c r="D108" s="24" t="s">
        <v>14</v>
      </c>
      <c r="E108" s="35">
        <f t="shared" si="30"/>
        <v>0</v>
      </c>
      <c r="F108" s="18">
        <f>F16+F65</f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f>L16+L65</f>
        <v>0</v>
      </c>
      <c r="M108" s="21">
        <v>0</v>
      </c>
    </row>
    <row r="109" spans="1:13" ht="20.25" customHeight="1" x14ac:dyDescent="0.25">
      <c r="A109" s="54" t="s">
        <v>22</v>
      </c>
      <c r="B109" s="55"/>
      <c r="C109" s="56"/>
      <c r="D109" s="25" t="s">
        <v>18</v>
      </c>
      <c r="E109" s="35">
        <f>E110+E111+E112+E113+E114+E115</f>
        <v>3707080.9580000001</v>
      </c>
      <c r="F109" s="19">
        <f>F110+F111+F112+F113+F115</f>
        <v>63849.114040000008</v>
      </c>
      <c r="G109" s="35">
        <f>G110+G111+G112+G113+G115</f>
        <v>197474.09787</v>
      </c>
      <c r="H109" s="35">
        <f t="shared" ref="H109:M109" si="38">H110+H111+H112+H113+H115</f>
        <v>1046416.20971</v>
      </c>
      <c r="I109" s="35">
        <f t="shared" si="38"/>
        <v>656356.69637999998</v>
      </c>
      <c r="J109" s="35">
        <f t="shared" si="38"/>
        <v>326425.36999999994</v>
      </c>
      <c r="K109" s="35">
        <f t="shared" si="38"/>
        <v>512523.48</v>
      </c>
      <c r="L109" s="35">
        <f t="shared" si="38"/>
        <v>0</v>
      </c>
      <c r="M109" s="35">
        <f t="shared" si="38"/>
        <v>904035.99</v>
      </c>
    </row>
    <row r="110" spans="1:13" ht="30.75" customHeight="1" x14ac:dyDescent="0.25">
      <c r="A110" s="57"/>
      <c r="B110" s="58"/>
      <c r="C110" s="59"/>
      <c r="D110" s="24" t="s">
        <v>11</v>
      </c>
      <c r="E110" s="21">
        <f t="shared" si="30"/>
        <v>59501</v>
      </c>
      <c r="F110" s="18">
        <f t="shared" ref="F110:M111" si="39">F25+F67+F53+F74</f>
        <v>0</v>
      </c>
      <c r="G110" s="21">
        <f t="shared" si="39"/>
        <v>0</v>
      </c>
      <c r="H110" s="21">
        <f t="shared" si="39"/>
        <v>0</v>
      </c>
      <c r="I110" s="21">
        <f t="shared" si="39"/>
        <v>59501</v>
      </c>
      <c r="J110" s="21">
        <f t="shared" si="39"/>
        <v>0</v>
      </c>
      <c r="K110" s="21">
        <f t="shared" si="39"/>
        <v>0</v>
      </c>
      <c r="L110" s="21">
        <f t="shared" si="39"/>
        <v>0</v>
      </c>
      <c r="M110" s="21">
        <f t="shared" si="39"/>
        <v>0</v>
      </c>
    </row>
    <row r="111" spans="1:13" ht="36" customHeight="1" x14ac:dyDescent="0.25">
      <c r="A111" s="57"/>
      <c r="B111" s="58"/>
      <c r="C111" s="59"/>
      <c r="D111" s="24" t="s">
        <v>7</v>
      </c>
      <c r="E111" s="21">
        <f t="shared" si="30"/>
        <v>353554.55999999994</v>
      </c>
      <c r="F111" s="18">
        <f t="shared" si="39"/>
        <v>93.12</v>
      </c>
      <c r="G111" s="21">
        <f t="shared" si="39"/>
        <v>96.72</v>
      </c>
      <c r="H111" s="21">
        <f t="shared" si="39"/>
        <v>259430.22</v>
      </c>
      <c r="I111" s="21">
        <f t="shared" si="39"/>
        <v>93162.42</v>
      </c>
      <c r="J111" s="21">
        <f t="shared" si="39"/>
        <v>96.72</v>
      </c>
      <c r="K111" s="21">
        <f t="shared" si="39"/>
        <v>96.48</v>
      </c>
      <c r="L111" s="21">
        <f t="shared" si="39"/>
        <v>0</v>
      </c>
      <c r="M111" s="21">
        <f t="shared" si="39"/>
        <v>578.88</v>
      </c>
    </row>
    <row r="112" spans="1:13" ht="22.5" customHeight="1" x14ac:dyDescent="0.25">
      <c r="A112" s="57"/>
      <c r="B112" s="58"/>
      <c r="C112" s="59"/>
      <c r="D112" s="24" t="s">
        <v>8</v>
      </c>
      <c r="E112" s="21">
        <f t="shared" si="30"/>
        <v>507879.90326000005</v>
      </c>
      <c r="F112" s="18">
        <f>F27+F69+F55+F76</f>
        <v>63755.994040000005</v>
      </c>
      <c r="G112" s="21">
        <f t="shared" ref="G112:M112" si="40">G27+G69+G55+G76</f>
        <v>197377.37787</v>
      </c>
      <c r="H112" s="21">
        <f t="shared" si="40"/>
        <v>219480.13135000001</v>
      </c>
      <c r="I112" s="21">
        <f t="shared" si="40"/>
        <v>25266.400000000001</v>
      </c>
      <c r="J112" s="21">
        <f t="shared" si="40"/>
        <v>2000</v>
      </c>
      <c r="K112" s="21">
        <f t="shared" si="40"/>
        <v>0</v>
      </c>
      <c r="L112" s="21">
        <f t="shared" si="40"/>
        <v>0</v>
      </c>
      <c r="M112" s="21">
        <f t="shared" si="40"/>
        <v>0</v>
      </c>
    </row>
    <row r="113" spans="1:13" ht="57" customHeight="1" x14ac:dyDescent="0.25">
      <c r="A113" s="57"/>
      <c r="B113" s="58"/>
      <c r="C113" s="59"/>
      <c r="D113" s="24" t="s">
        <v>12</v>
      </c>
      <c r="E113" s="21">
        <f t="shared" si="30"/>
        <v>0</v>
      </c>
      <c r="F113" s="18">
        <f t="shared" ref="F113:M114" si="41">F28+F70+F56+F77</f>
        <v>0</v>
      </c>
      <c r="G113" s="21">
        <f t="shared" si="41"/>
        <v>0</v>
      </c>
      <c r="H113" s="21">
        <f t="shared" si="41"/>
        <v>0</v>
      </c>
      <c r="I113" s="21">
        <f t="shared" si="41"/>
        <v>0</v>
      </c>
      <c r="J113" s="21">
        <f t="shared" si="41"/>
        <v>0</v>
      </c>
      <c r="K113" s="21">
        <f t="shared" si="41"/>
        <v>0</v>
      </c>
      <c r="L113" s="21">
        <f t="shared" si="41"/>
        <v>0</v>
      </c>
      <c r="M113" s="21">
        <f t="shared" si="41"/>
        <v>0</v>
      </c>
    </row>
    <row r="114" spans="1:13" ht="57" customHeight="1" x14ac:dyDescent="0.25">
      <c r="A114" s="57"/>
      <c r="B114" s="58"/>
      <c r="C114" s="59"/>
      <c r="D114" s="24" t="s">
        <v>35</v>
      </c>
      <c r="E114" s="21">
        <f t="shared" si="30"/>
        <v>0</v>
      </c>
      <c r="F114" s="18">
        <f t="shared" si="41"/>
        <v>0</v>
      </c>
      <c r="G114" s="21">
        <f t="shared" si="41"/>
        <v>0</v>
      </c>
      <c r="H114" s="21">
        <f t="shared" si="41"/>
        <v>0</v>
      </c>
      <c r="I114" s="21">
        <f t="shared" si="41"/>
        <v>0</v>
      </c>
      <c r="J114" s="21">
        <f t="shared" si="41"/>
        <v>0</v>
      </c>
      <c r="K114" s="21">
        <f t="shared" si="41"/>
        <v>0</v>
      </c>
      <c r="L114" s="21">
        <f t="shared" si="41"/>
        <v>0</v>
      </c>
      <c r="M114" s="21">
        <f t="shared" si="41"/>
        <v>0</v>
      </c>
    </row>
    <row r="115" spans="1:13" ht="22.5" customHeight="1" x14ac:dyDescent="0.25">
      <c r="A115" s="60"/>
      <c r="B115" s="61"/>
      <c r="C115" s="62"/>
      <c r="D115" s="24" t="s">
        <v>14</v>
      </c>
      <c r="E115" s="21">
        <f t="shared" si="30"/>
        <v>2786145.49474</v>
      </c>
      <c r="F115" s="18">
        <f>F30+F72+F58</f>
        <v>0</v>
      </c>
      <c r="G115" s="21">
        <f t="shared" ref="G115:M115" si="42">G30+G72+G58</f>
        <v>0</v>
      </c>
      <c r="H115" s="21">
        <f t="shared" si="42"/>
        <v>567505.85835999995</v>
      </c>
      <c r="I115" s="21">
        <f t="shared" si="42"/>
        <v>478426.87638000003</v>
      </c>
      <c r="J115" s="21">
        <f t="shared" si="42"/>
        <v>324328.64999999997</v>
      </c>
      <c r="K115" s="21">
        <f t="shared" si="42"/>
        <v>512427</v>
      </c>
      <c r="L115" s="21">
        <f t="shared" si="42"/>
        <v>0</v>
      </c>
      <c r="M115" s="21">
        <f t="shared" si="42"/>
        <v>903457.11</v>
      </c>
    </row>
    <row r="116" spans="1:13" ht="22.5" customHeight="1" x14ac:dyDescent="0.25">
      <c r="A116" s="54" t="s">
        <v>47</v>
      </c>
      <c r="B116" s="55"/>
      <c r="C116" s="56"/>
      <c r="D116" s="25" t="s">
        <v>18</v>
      </c>
      <c r="E116" s="35">
        <f>E117+E118+E119+E120+E121+E122</f>
        <v>7200</v>
      </c>
      <c r="F116" s="19">
        <f>F117+F118+F119+F120+F122</f>
        <v>600</v>
      </c>
      <c r="G116" s="35">
        <f>G117+G118+G119+G120+G122</f>
        <v>600</v>
      </c>
      <c r="H116" s="35">
        <f t="shared" ref="H116:M116" si="43">H117+H118+H119+H120+H122</f>
        <v>600</v>
      </c>
      <c r="I116" s="35">
        <f t="shared" si="43"/>
        <v>600</v>
      </c>
      <c r="J116" s="35">
        <f t="shared" si="43"/>
        <v>600</v>
      </c>
      <c r="K116" s="35">
        <f t="shared" si="43"/>
        <v>600</v>
      </c>
      <c r="L116" s="35">
        <f t="shared" si="43"/>
        <v>0</v>
      </c>
      <c r="M116" s="35">
        <f t="shared" si="43"/>
        <v>3600</v>
      </c>
    </row>
    <row r="117" spans="1:13" ht="22.5" customHeight="1" x14ac:dyDescent="0.25">
      <c r="A117" s="57"/>
      <c r="B117" s="58"/>
      <c r="C117" s="59"/>
      <c r="D117" s="24" t="s">
        <v>11</v>
      </c>
      <c r="E117" s="35">
        <f t="shared" si="30"/>
        <v>0</v>
      </c>
      <c r="F117" s="18">
        <v>0</v>
      </c>
      <c r="G117" s="21">
        <v>0</v>
      </c>
      <c r="H117" s="21">
        <v>0</v>
      </c>
      <c r="I117" s="33">
        <v>0</v>
      </c>
      <c r="J117" s="33">
        <v>0</v>
      </c>
      <c r="K117" s="33">
        <v>0</v>
      </c>
      <c r="L117" s="33"/>
      <c r="M117" s="33">
        <v>0</v>
      </c>
    </row>
    <row r="118" spans="1:13" ht="39.75" customHeight="1" x14ac:dyDescent="0.25">
      <c r="A118" s="57"/>
      <c r="B118" s="58"/>
      <c r="C118" s="59"/>
      <c r="D118" s="24" t="s">
        <v>7</v>
      </c>
      <c r="E118" s="35">
        <f t="shared" si="30"/>
        <v>0</v>
      </c>
      <c r="F118" s="18">
        <v>0</v>
      </c>
      <c r="G118" s="21">
        <v>0</v>
      </c>
      <c r="H118" s="21">
        <v>0</v>
      </c>
      <c r="I118" s="33">
        <v>0</v>
      </c>
      <c r="J118" s="33">
        <v>0</v>
      </c>
      <c r="K118" s="33">
        <v>0</v>
      </c>
      <c r="L118" s="33"/>
      <c r="M118" s="33">
        <v>0</v>
      </c>
    </row>
    <row r="119" spans="1:13" ht="22.5" customHeight="1" x14ac:dyDescent="0.25">
      <c r="A119" s="57"/>
      <c r="B119" s="58"/>
      <c r="C119" s="59"/>
      <c r="D119" s="24" t="s">
        <v>8</v>
      </c>
      <c r="E119" s="21">
        <f t="shared" si="30"/>
        <v>7200</v>
      </c>
      <c r="F119" s="18">
        <f t="shared" ref="F119:M119" si="44">F20</f>
        <v>600</v>
      </c>
      <c r="G119" s="21">
        <f t="shared" si="44"/>
        <v>600</v>
      </c>
      <c r="H119" s="21">
        <f t="shared" si="44"/>
        <v>600</v>
      </c>
      <c r="I119" s="21">
        <f t="shared" si="44"/>
        <v>600</v>
      </c>
      <c r="J119" s="21">
        <f t="shared" si="44"/>
        <v>600</v>
      </c>
      <c r="K119" s="21">
        <f t="shared" si="44"/>
        <v>600</v>
      </c>
      <c r="L119" s="21">
        <f t="shared" si="44"/>
        <v>0</v>
      </c>
      <c r="M119" s="21">
        <f t="shared" si="44"/>
        <v>3600</v>
      </c>
    </row>
    <row r="120" spans="1:13" ht="57" customHeight="1" x14ac:dyDescent="0.25">
      <c r="A120" s="57"/>
      <c r="B120" s="58"/>
      <c r="C120" s="59"/>
      <c r="D120" s="24" t="s">
        <v>12</v>
      </c>
      <c r="E120" s="35">
        <f t="shared" si="30"/>
        <v>0</v>
      </c>
      <c r="F120" s="18">
        <v>0</v>
      </c>
      <c r="G120" s="21">
        <v>0</v>
      </c>
      <c r="H120" s="21">
        <v>0</v>
      </c>
      <c r="I120" s="33">
        <v>0</v>
      </c>
      <c r="J120" s="33">
        <v>0</v>
      </c>
      <c r="K120" s="33">
        <v>0</v>
      </c>
      <c r="L120" s="33"/>
      <c r="M120" s="33">
        <v>0</v>
      </c>
    </row>
    <row r="121" spans="1:13" ht="45" customHeight="1" x14ac:dyDescent="0.25">
      <c r="A121" s="57"/>
      <c r="B121" s="58"/>
      <c r="C121" s="59"/>
      <c r="D121" s="24" t="s">
        <v>35</v>
      </c>
      <c r="E121" s="35">
        <f t="shared" si="30"/>
        <v>0</v>
      </c>
      <c r="F121" s="18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</row>
    <row r="122" spans="1:13" ht="22.5" customHeight="1" x14ac:dyDescent="0.25">
      <c r="A122" s="60"/>
      <c r="B122" s="61"/>
      <c r="C122" s="62"/>
      <c r="D122" s="24" t="s">
        <v>14</v>
      </c>
      <c r="E122" s="35">
        <f t="shared" si="30"/>
        <v>0</v>
      </c>
      <c r="F122" s="18">
        <f>F23</f>
        <v>0</v>
      </c>
      <c r="G122" s="21">
        <f>G23</f>
        <v>0</v>
      </c>
      <c r="H122" s="21">
        <v>0</v>
      </c>
      <c r="I122" s="33">
        <v>0</v>
      </c>
      <c r="J122" s="33">
        <v>0</v>
      </c>
      <c r="K122" s="33">
        <v>0</v>
      </c>
      <c r="L122" s="33"/>
      <c r="M122" s="33">
        <v>0</v>
      </c>
    </row>
    <row r="123" spans="1:13" ht="22.5" customHeight="1" x14ac:dyDescent="0.25">
      <c r="A123" s="54" t="s">
        <v>48</v>
      </c>
      <c r="B123" s="55"/>
      <c r="C123" s="56"/>
      <c r="D123" s="25" t="s">
        <v>18</v>
      </c>
      <c r="E123" s="35">
        <f>E124+E125+E126+E128+E127+E129</f>
        <v>7002.5474800000002</v>
      </c>
      <c r="F123" s="19">
        <f t="shared" ref="F123:M123" si="45">F124+F125+F126+F127+F129</f>
        <v>526.79362000000003</v>
      </c>
      <c r="G123" s="35">
        <f t="shared" si="45"/>
        <v>682.02386000000001</v>
      </c>
      <c r="H123" s="35">
        <f t="shared" si="45"/>
        <v>693.73</v>
      </c>
      <c r="I123" s="35">
        <f t="shared" si="45"/>
        <v>800</v>
      </c>
      <c r="J123" s="35">
        <f t="shared" si="45"/>
        <v>800</v>
      </c>
      <c r="K123" s="35">
        <f t="shared" si="45"/>
        <v>500</v>
      </c>
      <c r="L123" s="35">
        <f t="shared" si="45"/>
        <v>0</v>
      </c>
      <c r="M123" s="35">
        <f t="shared" si="45"/>
        <v>3000</v>
      </c>
    </row>
    <row r="124" spans="1:13" ht="22.5" customHeight="1" x14ac:dyDescent="0.25">
      <c r="A124" s="57"/>
      <c r="B124" s="58"/>
      <c r="C124" s="59"/>
      <c r="D124" s="24" t="s">
        <v>11</v>
      </c>
      <c r="E124" s="21">
        <f t="shared" ref="E124:E125" si="46">SUM(F124:M124)</f>
        <v>0</v>
      </c>
      <c r="F124" s="18">
        <f t="shared" ref="F124:M129" si="47">F11+F60</f>
        <v>0</v>
      </c>
      <c r="G124" s="21">
        <f t="shared" si="47"/>
        <v>0</v>
      </c>
      <c r="H124" s="21">
        <f t="shared" si="47"/>
        <v>0</v>
      </c>
      <c r="I124" s="21">
        <f t="shared" si="47"/>
        <v>0</v>
      </c>
      <c r="J124" s="21">
        <f t="shared" si="47"/>
        <v>0</v>
      </c>
      <c r="K124" s="21">
        <f t="shared" si="47"/>
        <v>0</v>
      </c>
      <c r="L124" s="21">
        <f t="shared" si="47"/>
        <v>0</v>
      </c>
      <c r="M124" s="21">
        <f t="shared" si="47"/>
        <v>0</v>
      </c>
    </row>
    <row r="125" spans="1:13" ht="22.5" customHeight="1" x14ac:dyDescent="0.25">
      <c r="A125" s="57"/>
      <c r="B125" s="58"/>
      <c r="C125" s="59"/>
      <c r="D125" s="24" t="s">
        <v>7</v>
      </c>
      <c r="E125" s="21">
        <f t="shared" si="46"/>
        <v>0</v>
      </c>
      <c r="F125" s="18">
        <f t="shared" si="47"/>
        <v>0</v>
      </c>
      <c r="G125" s="21">
        <f t="shared" si="47"/>
        <v>0</v>
      </c>
      <c r="H125" s="21">
        <f t="shared" si="47"/>
        <v>0</v>
      </c>
      <c r="I125" s="21">
        <f t="shared" si="47"/>
        <v>0</v>
      </c>
      <c r="J125" s="21">
        <f t="shared" si="47"/>
        <v>0</v>
      </c>
      <c r="K125" s="21">
        <f t="shared" si="47"/>
        <v>0</v>
      </c>
      <c r="L125" s="21">
        <f t="shared" si="47"/>
        <v>0</v>
      </c>
      <c r="M125" s="21">
        <f t="shared" si="47"/>
        <v>0</v>
      </c>
    </row>
    <row r="126" spans="1:13" ht="22.5" customHeight="1" x14ac:dyDescent="0.25">
      <c r="A126" s="57"/>
      <c r="B126" s="58"/>
      <c r="C126" s="59"/>
      <c r="D126" s="24" t="s">
        <v>8</v>
      </c>
      <c r="E126" s="21">
        <f>SUM(F126:M126)</f>
        <v>6302.5474800000002</v>
      </c>
      <c r="F126" s="18">
        <f t="shared" si="47"/>
        <v>526.79362000000003</v>
      </c>
      <c r="G126" s="21">
        <f t="shared" si="47"/>
        <v>682.02386000000001</v>
      </c>
      <c r="H126" s="21">
        <f t="shared" si="47"/>
        <v>693.73</v>
      </c>
      <c r="I126" s="21">
        <f t="shared" si="47"/>
        <v>800</v>
      </c>
      <c r="J126" s="21">
        <f t="shared" si="47"/>
        <v>800</v>
      </c>
      <c r="K126" s="21">
        <f t="shared" si="47"/>
        <v>400</v>
      </c>
      <c r="L126" s="21">
        <f t="shared" si="47"/>
        <v>0</v>
      </c>
      <c r="M126" s="21">
        <f t="shared" si="47"/>
        <v>2400</v>
      </c>
    </row>
    <row r="127" spans="1:13" ht="22.5" customHeight="1" x14ac:dyDescent="0.25">
      <c r="A127" s="57"/>
      <c r="B127" s="58"/>
      <c r="C127" s="59"/>
      <c r="D127" s="24" t="s">
        <v>12</v>
      </c>
      <c r="E127" s="21">
        <f t="shared" ref="E127:E129" si="48">SUM(F127:M127)</f>
        <v>0</v>
      </c>
      <c r="F127" s="18">
        <f t="shared" si="47"/>
        <v>0</v>
      </c>
      <c r="G127" s="21">
        <f t="shared" si="47"/>
        <v>0</v>
      </c>
      <c r="H127" s="21">
        <f t="shared" si="47"/>
        <v>0</v>
      </c>
      <c r="I127" s="21">
        <f t="shared" si="47"/>
        <v>0</v>
      </c>
      <c r="J127" s="21">
        <f t="shared" si="47"/>
        <v>0</v>
      </c>
      <c r="K127" s="21">
        <f t="shared" si="47"/>
        <v>0</v>
      </c>
      <c r="L127" s="21">
        <f t="shared" si="47"/>
        <v>0</v>
      </c>
      <c r="M127" s="21">
        <f t="shared" si="47"/>
        <v>0</v>
      </c>
    </row>
    <row r="128" spans="1:13" ht="22.5" customHeight="1" x14ac:dyDescent="0.25">
      <c r="A128" s="57"/>
      <c r="B128" s="58"/>
      <c r="C128" s="59"/>
      <c r="D128" s="24" t="s">
        <v>36</v>
      </c>
      <c r="E128" s="21">
        <f t="shared" si="48"/>
        <v>0</v>
      </c>
      <c r="F128" s="18">
        <f t="shared" si="47"/>
        <v>0</v>
      </c>
      <c r="G128" s="21">
        <f t="shared" si="47"/>
        <v>0</v>
      </c>
      <c r="H128" s="21">
        <f t="shared" si="47"/>
        <v>0</v>
      </c>
      <c r="I128" s="21">
        <f t="shared" si="47"/>
        <v>0</v>
      </c>
      <c r="J128" s="21">
        <f t="shared" si="47"/>
        <v>0</v>
      </c>
      <c r="K128" s="21">
        <f t="shared" si="47"/>
        <v>0</v>
      </c>
      <c r="L128" s="21">
        <f t="shared" si="47"/>
        <v>0</v>
      </c>
      <c r="M128" s="21">
        <f t="shared" si="47"/>
        <v>0</v>
      </c>
    </row>
    <row r="129" spans="1:13" ht="22.5" customHeight="1" x14ac:dyDescent="0.25">
      <c r="A129" s="60"/>
      <c r="B129" s="61"/>
      <c r="C129" s="62"/>
      <c r="D129" s="24" t="s">
        <v>14</v>
      </c>
      <c r="E129" s="21">
        <f t="shared" si="48"/>
        <v>700</v>
      </c>
      <c r="F129" s="18">
        <f t="shared" si="47"/>
        <v>0</v>
      </c>
      <c r="G129" s="21">
        <f t="shared" si="47"/>
        <v>0</v>
      </c>
      <c r="H129" s="21">
        <f t="shared" si="47"/>
        <v>0</v>
      </c>
      <c r="I129" s="21">
        <f t="shared" si="47"/>
        <v>0</v>
      </c>
      <c r="J129" s="21">
        <f t="shared" si="47"/>
        <v>0</v>
      </c>
      <c r="K129" s="21">
        <f t="shared" si="47"/>
        <v>100</v>
      </c>
      <c r="L129" s="21">
        <f t="shared" si="47"/>
        <v>0</v>
      </c>
      <c r="M129" s="21">
        <f t="shared" si="47"/>
        <v>600</v>
      </c>
    </row>
    <row r="130" spans="1:13" ht="22.5" customHeight="1" x14ac:dyDescent="0.25">
      <c r="A130" s="54" t="s">
        <v>49</v>
      </c>
      <c r="B130" s="55"/>
      <c r="C130" s="56"/>
      <c r="D130" s="25" t="s">
        <v>18</v>
      </c>
      <c r="E130" s="35">
        <f>E131+E132+E133+E135+E134+E136</f>
        <v>3145</v>
      </c>
      <c r="F130" s="19">
        <f t="shared" ref="F130:M130" si="49">F131+F132+F133+F134+F136</f>
        <v>3145</v>
      </c>
      <c r="G130" s="35">
        <f t="shared" si="49"/>
        <v>0</v>
      </c>
      <c r="H130" s="35">
        <f t="shared" si="49"/>
        <v>0</v>
      </c>
      <c r="I130" s="35">
        <f t="shared" si="49"/>
        <v>0</v>
      </c>
      <c r="J130" s="35">
        <f t="shared" si="49"/>
        <v>0</v>
      </c>
      <c r="K130" s="35">
        <f t="shared" si="49"/>
        <v>0</v>
      </c>
      <c r="L130" s="35">
        <f t="shared" si="49"/>
        <v>0</v>
      </c>
      <c r="M130" s="35">
        <f t="shared" si="49"/>
        <v>0</v>
      </c>
    </row>
    <row r="131" spans="1:13" ht="22.5" customHeight="1" x14ac:dyDescent="0.25">
      <c r="A131" s="57"/>
      <c r="B131" s="58"/>
      <c r="C131" s="59"/>
      <c r="D131" s="24" t="s">
        <v>11</v>
      </c>
      <c r="E131" s="21">
        <f t="shared" ref="E131" si="50">SUM(F131:G131)</f>
        <v>0</v>
      </c>
      <c r="F131" s="18">
        <v>0</v>
      </c>
      <c r="G131" s="21">
        <v>0</v>
      </c>
      <c r="H131" s="21">
        <v>0</v>
      </c>
      <c r="I131" s="33">
        <v>0</v>
      </c>
      <c r="J131" s="33">
        <v>0</v>
      </c>
      <c r="K131" s="33">
        <v>0</v>
      </c>
      <c r="L131" s="33"/>
      <c r="M131" s="33">
        <v>0</v>
      </c>
    </row>
    <row r="132" spans="1:13" ht="22.5" customHeight="1" x14ac:dyDescent="0.25">
      <c r="A132" s="57"/>
      <c r="B132" s="58"/>
      <c r="C132" s="59"/>
      <c r="D132" s="24" t="s">
        <v>7</v>
      </c>
      <c r="E132" s="21">
        <f>F132+G132+H132+I132+J132+K132+M132</f>
        <v>0</v>
      </c>
      <c r="F132" s="18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/>
      <c r="M132" s="21">
        <v>0</v>
      </c>
    </row>
    <row r="133" spans="1:13" ht="22.5" customHeight="1" x14ac:dyDescent="0.25">
      <c r="A133" s="57"/>
      <c r="B133" s="58"/>
      <c r="C133" s="59"/>
      <c r="D133" s="24" t="s">
        <v>8</v>
      </c>
      <c r="E133" s="21">
        <f t="shared" ref="E133:E135" si="51">SUM(F133:G133)</f>
        <v>3145</v>
      </c>
      <c r="F133" s="18">
        <f>F48</f>
        <v>3145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/>
      <c r="M133" s="21">
        <v>0</v>
      </c>
    </row>
    <row r="134" spans="1:13" ht="22.5" customHeight="1" x14ac:dyDescent="0.25">
      <c r="A134" s="57"/>
      <c r="B134" s="58"/>
      <c r="C134" s="59"/>
      <c r="D134" s="24" t="s">
        <v>12</v>
      </c>
      <c r="E134" s="21">
        <f t="shared" si="51"/>
        <v>0</v>
      </c>
      <c r="F134" s="18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/>
      <c r="M134" s="21">
        <v>0</v>
      </c>
    </row>
    <row r="135" spans="1:13" ht="22.5" customHeight="1" x14ac:dyDescent="0.25">
      <c r="A135" s="57"/>
      <c r="B135" s="58"/>
      <c r="C135" s="59"/>
      <c r="D135" s="24" t="s">
        <v>36</v>
      </c>
      <c r="E135" s="21">
        <f t="shared" si="51"/>
        <v>0</v>
      </c>
      <c r="F135" s="18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/>
      <c r="M135" s="21">
        <v>0</v>
      </c>
    </row>
    <row r="136" spans="1:13" ht="22.5" customHeight="1" x14ac:dyDescent="0.25">
      <c r="A136" s="60"/>
      <c r="B136" s="61"/>
      <c r="C136" s="62"/>
      <c r="D136" s="24" t="s">
        <v>14</v>
      </c>
      <c r="E136" s="21">
        <f>SUM(F136:G136)</f>
        <v>0</v>
      </c>
      <c r="F136" s="18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/>
      <c r="M136" s="21">
        <v>0</v>
      </c>
    </row>
    <row r="137" spans="1:13" ht="22.5" customHeight="1" x14ac:dyDescent="0.25">
      <c r="A137" s="46" t="s">
        <v>46</v>
      </c>
      <c r="B137" s="46"/>
      <c r="C137" s="46"/>
      <c r="D137" s="25" t="s">
        <v>18</v>
      </c>
      <c r="E137" s="35">
        <f>E138+E139+E140+E141+E142+E143</f>
        <v>85505.146099999984</v>
      </c>
      <c r="F137" s="19">
        <f t="shared" ref="F137:K137" si="52">F138+F139+F140+F141+F143</f>
        <v>18707.897129999998</v>
      </c>
      <c r="G137" s="35">
        <f t="shared" si="52"/>
        <v>21107.768970000001</v>
      </c>
      <c r="H137" s="35">
        <f t="shared" si="52"/>
        <v>12506.880000000001</v>
      </c>
      <c r="I137" s="35">
        <f t="shared" si="52"/>
        <v>16506.88</v>
      </c>
      <c r="J137" s="35">
        <f t="shared" si="52"/>
        <v>16506.88</v>
      </c>
      <c r="K137" s="35">
        <f t="shared" si="52"/>
        <v>24.12</v>
      </c>
      <c r="L137" s="35">
        <f t="shared" ref="L137:M137" si="53">L138+L139+L140+L141+L143</f>
        <v>0</v>
      </c>
      <c r="M137" s="35">
        <f t="shared" si="53"/>
        <v>144.72</v>
      </c>
    </row>
    <row r="138" spans="1:13" ht="22.5" customHeight="1" x14ac:dyDescent="0.25">
      <c r="A138" s="46"/>
      <c r="B138" s="46"/>
      <c r="C138" s="46"/>
      <c r="D138" s="24" t="s">
        <v>11</v>
      </c>
      <c r="E138" s="21">
        <f t="shared" ref="E138:E142" si="54">SUM(F138:G138)</f>
        <v>0</v>
      </c>
      <c r="F138" s="18">
        <v>0</v>
      </c>
      <c r="G138" s="21">
        <v>0</v>
      </c>
      <c r="H138" s="21">
        <v>0</v>
      </c>
      <c r="I138" s="33">
        <v>0</v>
      </c>
      <c r="J138" s="33">
        <v>0</v>
      </c>
      <c r="K138" s="33">
        <v>0</v>
      </c>
      <c r="L138" s="33"/>
      <c r="M138" s="33">
        <v>0</v>
      </c>
    </row>
    <row r="139" spans="1:13" ht="35.25" customHeight="1" x14ac:dyDescent="0.25">
      <c r="A139" s="46"/>
      <c r="B139" s="46"/>
      <c r="C139" s="46"/>
      <c r="D139" s="24" t="s">
        <v>7</v>
      </c>
      <c r="E139" s="21">
        <f>F139+G139+H139+I139+J139+K139+M139</f>
        <v>1256.8399999999999</v>
      </c>
      <c r="F139" s="18">
        <f t="shared" ref="F139:M139" si="55">F33</f>
        <v>991.28</v>
      </c>
      <c r="G139" s="21">
        <f t="shared" si="55"/>
        <v>24.18</v>
      </c>
      <c r="H139" s="21">
        <f t="shared" si="55"/>
        <v>24.18</v>
      </c>
      <c r="I139" s="21">
        <f t="shared" si="55"/>
        <v>24.18</v>
      </c>
      <c r="J139" s="21">
        <f t="shared" si="55"/>
        <v>24.18</v>
      </c>
      <c r="K139" s="21">
        <f t="shared" si="55"/>
        <v>24.12</v>
      </c>
      <c r="L139" s="21">
        <f t="shared" si="55"/>
        <v>0</v>
      </c>
      <c r="M139" s="21">
        <f t="shared" si="55"/>
        <v>144.72</v>
      </c>
    </row>
    <row r="140" spans="1:13" ht="22.5" customHeight="1" x14ac:dyDescent="0.25">
      <c r="A140" s="46"/>
      <c r="B140" s="46"/>
      <c r="C140" s="46"/>
      <c r="D140" s="24" t="s">
        <v>8</v>
      </c>
      <c r="E140" s="21">
        <f>F140+G140+H140+I140+J140</f>
        <v>84248.306099999987</v>
      </c>
      <c r="F140" s="18">
        <f>F41+F34</f>
        <v>17716.617129999999</v>
      </c>
      <c r="G140" s="18">
        <f t="shared" ref="G140:M140" si="56">G41+G34</f>
        <v>21083.588970000001</v>
      </c>
      <c r="H140" s="18">
        <f t="shared" si="56"/>
        <v>12482.7</v>
      </c>
      <c r="I140" s="18">
        <f t="shared" si="56"/>
        <v>16482.7</v>
      </c>
      <c r="J140" s="18">
        <f t="shared" si="56"/>
        <v>16482.7</v>
      </c>
      <c r="K140" s="18">
        <f t="shared" si="56"/>
        <v>0</v>
      </c>
      <c r="L140" s="18">
        <f t="shared" si="56"/>
        <v>0</v>
      </c>
      <c r="M140" s="18">
        <f t="shared" si="56"/>
        <v>0</v>
      </c>
    </row>
    <row r="141" spans="1:13" ht="52.5" customHeight="1" x14ac:dyDescent="0.25">
      <c r="A141" s="46"/>
      <c r="B141" s="46"/>
      <c r="C141" s="46"/>
      <c r="D141" s="24" t="s">
        <v>12</v>
      </c>
      <c r="E141" s="21">
        <f t="shared" si="54"/>
        <v>0</v>
      </c>
      <c r="F141" s="18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/>
      <c r="M141" s="21">
        <v>0</v>
      </c>
    </row>
    <row r="142" spans="1:13" ht="52.5" customHeight="1" x14ac:dyDescent="0.25">
      <c r="A142" s="46"/>
      <c r="B142" s="46"/>
      <c r="C142" s="46"/>
      <c r="D142" s="24" t="s">
        <v>36</v>
      </c>
      <c r="E142" s="21">
        <f t="shared" si="54"/>
        <v>0</v>
      </c>
      <c r="F142" s="18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/>
      <c r="M142" s="21">
        <v>0</v>
      </c>
    </row>
    <row r="143" spans="1:13" ht="22.5" customHeight="1" x14ac:dyDescent="0.25">
      <c r="A143" s="46"/>
      <c r="B143" s="46"/>
      <c r="C143" s="46"/>
      <c r="D143" s="24" t="s">
        <v>14</v>
      </c>
      <c r="E143" s="21">
        <f>F143+G143+H143+I143+J143+K143+M143</f>
        <v>0</v>
      </c>
      <c r="F143" s="18">
        <f>F44</f>
        <v>0</v>
      </c>
      <c r="G143" s="18">
        <f t="shared" ref="G143:M143" si="57">G44</f>
        <v>0</v>
      </c>
      <c r="H143" s="18">
        <f t="shared" si="57"/>
        <v>0</v>
      </c>
      <c r="I143" s="18">
        <f t="shared" si="57"/>
        <v>0</v>
      </c>
      <c r="J143" s="18">
        <f t="shared" si="57"/>
        <v>0</v>
      </c>
      <c r="K143" s="18">
        <f t="shared" si="57"/>
        <v>0</v>
      </c>
      <c r="L143" s="18">
        <f t="shared" si="57"/>
        <v>0</v>
      </c>
      <c r="M143" s="18">
        <f t="shared" si="57"/>
        <v>0</v>
      </c>
    </row>
    <row r="144" spans="1:13" ht="30.75" customHeight="1" x14ac:dyDescent="0.25">
      <c r="A144" s="64" t="s">
        <v>37</v>
      </c>
      <c r="B144" s="65"/>
      <c r="C144" s="65"/>
      <c r="D144" s="65"/>
      <c r="E144" s="28"/>
      <c r="F144" s="29"/>
      <c r="G144" s="29"/>
      <c r="H144" s="29"/>
      <c r="I144" s="29"/>
      <c r="J144" s="29"/>
      <c r="K144" s="29"/>
    </row>
    <row r="145" spans="1:13" ht="30.75" customHeight="1" x14ac:dyDescent="0.25">
      <c r="A145" s="39" t="s">
        <v>39</v>
      </c>
      <c r="B145" s="39"/>
      <c r="C145" s="39"/>
      <c r="D145" s="39"/>
      <c r="E145" s="39"/>
      <c r="F145" s="39"/>
      <c r="G145" s="39"/>
      <c r="H145" s="39"/>
      <c r="I145" s="39"/>
      <c r="J145" s="39"/>
      <c r="K145" s="29"/>
    </row>
    <row r="146" spans="1:13" ht="22.5" customHeight="1" x14ac:dyDescent="0.25">
      <c r="B146" s="4" t="s">
        <v>52</v>
      </c>
    </row>
    <row r="147" spans="1:13" ht="38.25" customHeight="1" x14ac:dyDescent="0.25">
      <c r="A147" s="38" t="s">
        <v>55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</row>
    <row r="148" spans="1:13" ht="36.75" customHeight="1" x14ac:dyDescent="0.25">
      <c r="A148" s="40" t="s">
        <v>56</v>
      </c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</row>
    <row r="149" spans="1:13" ht="22.5" customHeight="1" x14ac:dyDescent="0.25">
      <c r="A149" s="38" t="s">
        <v>57</v>
      </c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</row>
    <row r="150" spans="1:13" ht="45.75" customHeight="1" x14ac:dyDescent="0.25">
      <c r="A150" s="38" t="s">
        <v>53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</row>
    <row r="151" spans="1:13" ht="25.5" customHeight="1" x14ac:dyDescent="0.25">
      <c r="A151" s="38" t="s">
        <v>54</v>
      </c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</row>
    <row r="152" spans="1:13" ht="39" customHeight="1" x14ac:dyDescent="0.25"/>
    <row r="153" spans="1:13" ht="25.5" customHeight="1" x14ac:dyDescent="0.25"/>
    <row r="154" spans="1:13" ht="55.5" customHeight="1" x14ac:dyDescent="0.25"/>
    <row r="155" spans="1:13" ht="38.25" customHeight="1" x14ac:dyDescent="0.25"/>
    <row r="156" spans="1:13" ht="38.25" customHeight="1" x14ac:dyDescent="0.25"/>
    <row r="157" spans="1:13" ht="28.5" customHeight="1" x14ac:dyDescent="0.25"/>
    <row r="158" spans="1:13" ht="38.25" customHeight="1" x14ac:dyDescent="0.25"/>
    <row r="159" spans="1:13" ht="27.75" customHeight="1" x14ac:dyDescent="0.25"/>
    <row r="160" spans="1:13" ht="48" customHeight="1" x14ac:dyDescent="0.25"/>
    <row r="161" spans="9:9" ht="38.25" customHeight="1" x14ac:dyDescent="0.25"/>
    <row r="162" spans="9:9" ht="23.25" customHeight="1" x14ac:dyDescent="0.25"/>
    <row r="163" spans="9:9" ht="33" customHeight="1" x14ac:dyDescent="0.25"/>
    <row r="164" spans="9:9" ht="30" customHeight="1" x14ac:dyDescent="0.25">
      <c r="I164" s="3"/>
    </row>
    <row r="165" spans="9:9" ht="23.25" customHeight="1" x14ac:dyDescent="0.25"/>
    <row r="166" spans="9:9" ht="36" customHeight="1" x14ac:dyDescent="0.25">
      <c r="I166" s="3"/>
    </row>
    <row r="167" spans="9:9" ht="33" customHeight="1" x14ac:dyDescent="0.25"/>
    <row r="168" spans="9:9" ht="33" customHeight="1" x14ac:dyDescent="0.25"/>
    <row r="169" spans="9:9" ht="25.5" customHeight="1" x14ac:dyDescent="0.25"/>
    <row r="170" spans="9:9" ht="33" customHeight="1" x14ac:dyDescent="0.25"/>
    <row r="171" spans="9:9" ht="24.75" customHeight="1" x14ac:dyDescent="0.25"/>
    <row r="172" spans="9:9" ht="53.25" customHeight="1" x14ac:dyDescent="0.25"/>
    <row r="173" spans="9:9" ht="33" customHeight="1" x14ac:dyDescent="0.25"/>
    <row r="174" spans="9:9" ht="27" customHeight="1" x14ac:dyDescent="0.25"/>
    <row r="175" spans="9:9" ht="26.25" customHeight="1" x14ac:dyDescent="0.25"/>
    <row r="176" spans="9:9" ht="48" customHeight="1" x14ac:dyDescent="0.25"/>
    <row r="177" ht="23.25" customHeight="1" x14ac:dyDescent="0.25"/>
    <row r="179" ht="33" customHeight="1" x14ac:dyDescent="0.25"/>
  </sheetData>
  <mergeCells count="49">
    <mergeCell ref="A5:A8"/>
    <mergeCell ref="E6:M6"/>
    <mergeCell ref="C52:C58"/>
    <mergeCell ref="D5:D8"/>
    <mergeCell ref="A144:D144"/>
    <mergeCell ref="C24:C30"/>
    <mergeCell ref="A80:C86"/>
    <mergeCell ref="A87:C87"/>
    <mergeCell ref="A88:C94"/>
    <mergeCell ref="A137:C143"/>
    <mergeCell ref="A102:C108"/>
    <mergeCell ref="A109:C115"/>
    <mergeCell ref="A116:C122"/>
    <mergeCell ref="A95:C101"/>
    <mergeCell ref="A59:A65"/>
    <mergeCell ref="B59:B65"/>
    <mergeCell ref="A130:C136"/>
    <mergeCell ref="A66:A72"/>
    <mergeCell ref="A10:A23"/>
    <mergeCell ref="C38:C44"/>
    <mergeCell ref="A38:A58"/>
    <mergeCell ref="A24:A37"/>
    <mergeCell ref="B66:B72"/>
    <mergeCell ref="C66:C72"/>
    <mergeCell ref="C59:C65"/>
    <mergeCell ref="C45:C51"/>
    <mergeCell ref="A123:C129"/>
    <mergeCell ref="A73:A79"/>
    <mergeCell ref="B73:B79"/>
    <mergeCell ref="C73:C79"/>
    <mergeCell ref="F1:K1"/>
    <mergeCell ref="B38:B58"/>
    <mergeCell ref="B24:B37"/>
    <mergeCell ref="C10:C16"/>
    <mergeCell ref="B5:B8"/>
    <mergeCell ref="C5:C8"/>
    <mergeCell ref="F4:G4"/>
    <mergeCell ref="B10:B23"/>
    <mergeCell ref="C31:C37"/>
    <mergeCell ref="E7:E8"/>
    <mergeCell ref="C17:C23"/>
    <mergeCell ref="E5:M5"/>
    <mergeCell ref="F7:M7"/>
    <mergeCell ref="A151:M151"/>
    <mergeCell ref="A145:J145"/>
    <mergeCell ref="A147:M147"/>
    <mergeCell ref="A148:M148"/>
    <mergeCell ref="A149:M149"/>
    <mergeCell ref="A150:M150"/>
  </mergeCells>
  <pageMargins left="0.39370078740157483" right="0" top="0.39370078740157483" bottom="0" header="0" footer="0"/>
  <pageSetup paperSize="9" scale="62" fitToHeight="0" orientation="landscape" r:id="rId1"/>
  <rowBreaks count="8" manualBreakCount="8">
    <brk id="16" max="12" man="1"/>
    <brk id="32" max="12" man="1"/>
    <brk id="51" max="12" man="1"/>
    <brk id="65" max="12" man="1"/>
    <brk id="79" max="12" man="1"/>
    <brk id="94" max="12" man="1"/>
    <brk id="108" max="12" man="1"/>
    <brk id="13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проект</vt:lpstr>
      <vt:lpstr>Лист3</vt:lpstr>
      <vt:lpstr>проект!Заголовки_для_печати</vt:lpstr>
      <vt:lpstr>проект!Область_печати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2021-03-12T05:47:50Z</dcterms:modified>
</cp:coreProperties>
</file>