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10.10.1.6\общие папки\org.otdel\РЕГИСТРАЦИЯ\# ПРОЕКТЫ_ДЕЛО\ПП-2628\"/>
    </mc:Choice>
  </mc:AlternateContent>
  <xr:revisionPtr revIDLastSave="0" documentId="13_ncr:1_{A8756D06-DA8F-4F87-A072-E39DB85D38AD}" xr6:coauthVersionLast="47" xr6:coauthVersionMax="47" xr10:uidLastSave="{00000000-0000-0000-0000-000000000000}"/>
  <bookViews>
    <workbookView xWindow="-120" yWindow="-120" windowWidth="29040" windowHeight="15840" firstSheet="1" activeTab="7" xr2:uid="{00000000-000D-0000-FFFF-FFFF00000000}"/>
  </bookViews>
  <sheets>
    <sheet name="таблица 1" sheetId="1" state="hidden" r:id="rId1"/>
    <sheet name="таблица 2 " sheetId="15" r:id="rId2"/>
    <sheet name="таблица 3" sheetId="6" r:id="rId3"/>
    <sheet name="таблица 4" sheetId="5" r:id="rId4"/>
    <sheet name="Таблица 5" sheetId="4" r:id="rId5"/>
    <sheet name="Таблица 6" sheetId="3" r:id="rId6"/>
    <sheet name="таблица 7" sheetId="8" r:id="rId7"/>
    <sheet name="таблица 8 " sheetId="12" r:id="rId8"/>
    <sheet name="пост 2372 от 30.12.2022" sheetId="9" state="hidden" r:id="rId9"/>
    <sheet name="2022 год" sheetId="10" state="hidden" r:id="rId10"/>
  </sheets>
  <externalReferences>
    <externalReference r:id="rId11"/>
    <externalReference r:id="rId12"/>
  </externalReferences>
  <definedNames>
    <definedName name="_ftn1" localSheetId="7">'таблица 8 '!#REF!</definedName>
    <definedName name="_ftnref1" localSheetId="7">'таблица 8 '!$B$12</definedName>
    <definedName name="_Hlk67922527" localSheetId="1">'таблица 2 '!$D$63</definedName>
    <definedName name="_Hlk67925744" localSheetId="1">'таблица 2 '!$D$64</definedName>
    <definedName name="_Hlk68618498" localSheetId="1">'таблица 2 '!$A$232</definedName>
    <definedName name="_Hlk69889099" localSheetId="1">'таблица 2 '!$A$233</definedName>
    <definedName name="_Hlk69889156" localSheetId="1">'таблица 2 '!$A$234</definedName>
    <definedName name="_xlnm.Print_Titles" localSheetId="1">'таблица 2 '!$4:$6</definedName>
    <definedName name="_xlnm.Print_Area" localSheetId="0">'таблица 1'!$A$1:$V$109</definedName>
    <definedName name="_xlnm.Print_Area" localSheetId="1">'таблица 2 '!$A$1:$J$238</definedName>
    <definedName name="_xlnm.Print_Area" localSheetId="7">'таблица 8 '!$A$1:$H$17</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1" i="15" l="1"/>
  <c r="G147" i="15" l="1"/>
  <c r="G19" i="15" l="1"/>
  <c r="G176" i="15" s="1"/>
  <c r="G90" i="15" l="1"/>
  <c r="G154" i="15"/>
  <c r="G118" i="15" l="1"/>
  <c r="G69" i="15"/>
  <c r="G40" i="15"/>
  <c r="G47" i="15" l="1"/>
  <c r="G22" i="15" l="1"/>
  <c r="I18" i="5" l="1"/>
  <c r="I11" i="5"/>
  <c r="G191" i="15" l="1"/>
  <c r="E33" i="15" l="1"/>
  <c r="J36" i="15"/>
  <c r="E36" i="15"/>
  <c r="J35" i="15"/>
  <c r="E35" i="15"/>
  <c r="J34" i="15"/>
  <c r="E34" i="15"/>
  <c r="E32" i="15"/>
  <c r="J31" i="15"/>
  <c r="J30" i="15" s="1"/>
  <c r="I30" i="15"/>
  <c r="H30" i="15"/>
  <c r="G30" i="15"/>
  <c r="E30" i="15" s="1"/>
  <c r="F30" i="15"/>
  <c r="E31" i="15" l="1"/>
  <c r="F163" i="15"/>
  <c r="G86" i="15" l="1"/>
  <c r="G72" i="15"/>
  <c r="G150" i="15" l="1"/>
  <c r="G114" i="15"/>
  <c r="G43" i="15"/>
  <c r="G110" i="15" l="1"/>
  <c r="G109" i="15"/>
  <c r="H29" i="15" l="1"/>
  <c r="G29" i="15"/>
  <c r="J11" i="5" l="1"/>
  <c r="H14" i="5"/>
  <c r="I14" i="5"/>
  <c r="J14" i="5"/>
  <c r="F162" i="15" l="1"/>
  <c r="I111" i="15" l="1"/>
  <c r="H111" i="15"/>
  <c r="I110" i="15"/>
  <c r="H110" i="15"/>
  <c r="H18" i="5" l="1"/>
  <c r="H11" i="5" s="1"/>
  <c r="I194" i="15" l="1"/>
  <c r="G174" i="15"/>
  <c r="H174" i="15"/>
  <c r="I174" i="15"/>
  <c r="G175" i="15"/>
  <c r="H175" i="15"/>
  <c r="I175" i="15"/>
  <c r="G177" i="15"/>
  <c r="H177" i="15"/>
  <c r="I177" i="15"/>
  <c r="G178" i="15"/>
  <c r="H178" i="15"/>
  <c r="I178" i="15"/>
  <c r="I179" i="15"/>
  <c r="F147" i="15" l="1"/>
  <c r="F118" i="15" l="1"/>
  <c r="F111" i="15"/>
  <c r="F83" i="15"/>
  <c r="F69" i="15"/>
  <c r="F40" i="15"/>
  <c r="J90" i="15" l="1"/>
  <c r="G79" i="15" l="1"/>
  <c r="H79" i="15"/>
  <c r="F86" i="15" l="1"/>
  <c r="I83" i="15" l="1"/>
  <c r="H83" i="15"/>
  <c r="H76" i="15" s="1"/>
  <c r="I147" i="15" l="1"/>
  <c r="I161" i="15" s="1"/>
  <c r="H147" i="15"/>
  <c r="J40" i="15"/>
  <c r="H48" i="15"/>
  <c r="F62" i="15" l="1"/>
  <c r="F93" i="15"/>
  <c r="F150" i="15"/>
  <c r="F154" i="15" l="1"/>
  <c r="H19" i="15" l="1"/>
  <c r="H176" i="15" s="1"/>
  <c r="I15" i="5"/>
  <c r="H8" i="5" l="1"/>
  <c r="H191" i="15"/>
  <c r="I8" i="5"/>
  <c r="J8" i="5"/>
  <c r="I19" i="15"/>
  <c r="F160" i="15"/>
  <c r="F159" i="15"/>
  <c r="F157" i="15"/>
  <c r="F164" i="15" s="1"/>
  <c r="F161" i="15"/>
  <c r="F144" i="15"/>
  <c r="F135" i="15"/>
  <c r="F129" i="15" s="1"/>
  <c r="F122" i="15"/>
  <c r="F121" i="15"/>
  <c r="F115" i="15" s="1"/>
  <c r="F114" i="15"/>
  <c r="F108" i="15" s="1"/>
  <c r="F104" i="15"/>
  <c r="F101" i="15" s="1"/>
  <c r="F94" i="15"/>
  <c r="F90" i="15"/>
  <c r="F87" i="15" s="1"/>
  <c r="F79" i="15"/>
  <c r="F76" i="15"/>
  <c r="F80" i="15"/>
  <c r="F78" i="15"/>
  <c r="F141" i="15" s="1"/>
  <c r="F77" i="15"/>
  <c r="F140" i="15" s="1"/>
  <c r="F75" i="15"/>
  <c r="F138" i="15" s="1"/>
  <c r="F74" i="15"/>
  <c r="F137" i="15" s="1"/>
  <c r="F66" i="15"/>
  <c r="F59" i="15"/>
  <c r="F52" i="15"/>
  <c r="F49" i="15"/>
  <c r="F48" i="15"/>
  <c r="F43" i="15"/>
  <c r="F50" i="15" s="1"/>
  <c r="F23" i="15"/>
  <c r="F19" i="15"/>
  <c r="F16" i="15" s="1"/>
  <c r="F12" i="15"/>
  <c r="F11" i="15"/>
  <c r="F46" i="15" s="1"/>
  <c r="F10" i="15"/>
  <c r="F171" i="15" l="1"/>
  <c r="F142" i="15"/>
  <c r="E19" i="15"/>
  <c r="F9" i="15"/>
  <c r="I176" i="15"/>
  <c r="I191" i="15"/>
  <c r="F73" i="15"/>
  <c r="F158" i="15"/>
  <c r="F47" i="15"/>
  <c r="F151" i="15"/>
  <c r="F139" i="15"/>
  <c r="F136" i="15" s="1"/>
  <c r="F37" i="15"/>
  <c r="F45" i="15"/>
  <c r="F166" i="15" s="1"/>
  <c r="F44" i="15" l="1"/>
  <c r="F168" i="15"/>
  <c r="H159" i="15"/>
  <c r="H160" i="15"/>
  <c r="H161" i="15"/>
  <c r="H162" i="15"/>
  <c r="H163" i="15"/>
  <c r="H164" i="15"/>
  <c r="J111" i="15"/>
  <c r="J147" i="15"/>
  <c r="H158" i="15" l="1"/>
  <c r="F169" i="15"/>
  <c r="I50" i="15"/>
  <c r="H22" i="15"/>
  <c r="J15" i="5"/>
  <c r="H50" i="15" l="1"/>
  <c r="H194" i="15"/>
  <c r="H188" i="15" s="1"/>
  <c r="H179" i="15"/>
  <c r="H173" i="15" s="1"/>
  <c r="G216" i="15"/>
  <c r="G179" i="15"/>
  <c r="G50" i="15"/>
  <c r="F176" i="15" l="1"/>
  <c r="G211" i="15"/>
  <c r="H211" i="15"/>
  <c r="I211" i="15"/>
  <c r="G212" i="15"/>
  <c r="H212" i="15"/>
  <c r="I212" i="15"/>
  <c r="G213" i="15"/>
  <c r="H213" i="15"/>
  <c r="I213" i="15"/>
  <c r="G214" i="15"/>
  <c r="H214" i="15"/>
  <c r="I214" i="15"/>
  <c r="G215" i="15"/>
  <c r="H215" i="15"/>
  <c r="I215" i="15"/>
  <c r="H216" i="15"/>
  <c r="I216" i="15"/>
  <c r="F212" i="15"/>
  <c r="F213" i="15"/>
  <c r="F214" i="15"/>
  <c r="F215" i="15"/>
  <c r="F211" i="15"/>
  <c r="F216" i="15" l="1"/>
  <c r="G189" i="15" l="1"/>
  <c r="I189" i="15"/>
  <c r="G190" i="15"/>
  <c r="I190" i="15"/>
  <c r="G192" i="15"/>
  <c r="I192" i="15"/>
  <c r="G193" i="15"/>
  <c r="I193" i="15"/>
  <c r="G194" i="15"/>
  <c r="F190" i="15"/>
  <c r="F191" i="15"/>
  <c r="F192" i="15"/>
  <c r="F193" i="15"/>
  <c r="F194" i="15"/>
  <c r="F189" i="15"/>
  <c r="I188" i="15" l="1"/>
  <c r="F175" i="15"/>
  <c r="F177" i="15"/>
  <c r="F178" i="15"/>
  <c r="F179" i="15"/>
  <c r="F174" i="15"/>
  <c r="G45" i="15" l="1"/>
  <c r="H45" i="15"/>
  <c r="I45" i="15"/>
  <c r="G46" i="15"/>
  <c r="H46" i="15"/>
  <c r="I46" i="15"/>
  <c r="H47" i="15"/>
  <c r="I47" i="15"/>
  <c r="G48" i="15"/>
  <c r="I48" i="15"/>
  <c r="G49" i="15"/>
  <c r="H49" i="15"/>
  <c r="I49" i="15"/>
  <c r="J29" i="15"/>
  <c r="E29" i="15" s="1"/>
  <c r="J28" i="15"/>
  <c r="E28" i="15" s="1"/>
  <c r="J27" i="15"/>
  <c r="E27" i="15" s="1"/>
  <c r="J26" i="15"/>
  <c r="J25" i="15"/>
  <c r="E25" i="15"/>
  <c r="J24" i="15"/>
  <c r="E24" i="15"/>
  <c r="I23" i="15"/>
  <c r="H23" i="15"/>
  <c r="G23" i="15"/>
  <c r="E26" i="15" l="1"/>
  <c r="J191" i="15"/>
  <c r="J23" i="15"/>
  <c r="E23" i="15" s="1"/>
  <c r="I230" i="15" l="1"/>
  <c r="H230" i="15"/>
  <c r="G230" i="15"/>
  <c r="F230" i="15"/>
  <c r="J229" i="15"/>
  <c r="I229" i="15"/>
  <c r="H229" i="15"/>
  <c r="G229" i="15"/>
  <c r="F229" i="15"/>
  <c r="J228" i="15"/>
  <c r="I228" i="15"/>
  <c r="H228" i="15"/>
  <c r="G228" i="15"/>
  <c r="F228" i="15"/>
  <c r="I227" i="15"/>
  <c r="H227" i="15"/>
  <c r="G227" i="15"/>
  <c r="F227" i="15"/>
  <c r="I226" i="15"/>
  <c r="H226" i="15"/>
  <c r="G226" i="15"/>
  <c r="F226" i="15"/>
  <c r="J225" i="15"/>
  <c r="I225" i="15"/>
  <c r="H225" i="15"/>
  <c r="G225" i="15"/>
  <c r="F225" i="15"/>
  <c r="H223" i="15"/>
  <c r="G223" i="15"/>
  <c r="F223" i="15"/>
  <c r="J222" i="15"/>
  <c r="I222" i="15"/>
  <c r="H222" i="15"/>
  <c r="G222" i="15"/>
  <c r="F222" i="15"/>
  <c r="J221" i="15"/>
  <c r="I221" i="15"/>
  <c r="H221" i="15"/>
  <c r="G221" i="15"/>
  <c r="F221" i="15"/>
  <c r="I220" i="15"/>
  <c r="G220" i="15"/>
  <c r="F220" i="15"/>
  <c r="J219" i="15"/>
  <c r="I219" i="15"/>
  <c r="H219" i="15"/>
  <c r="G219" i="15"/>
  <c r="F219" i="15"/>
  <c r="J218" i="15"/>
  <c r="I218" i="15"/>
  <c r="H218" i="15"/>
  <c r="G218" i="15"/>
  <c r="F218" i="15"/>
  <c r="F188" i="15"/>
  <c r="I164" i="15"/>
  <c r="G164" i="15"/>
  <c r="I163" i="15"/>
  <c r="G163" i="15"/>
  <c r="I162" i="15"/>
  <c r="G162" i="15"/>
  <c r="G161" i="15"/>
  <c r="I160" i="15"/>
  <c r="G160" i="15"/>
  <c r="J159" i="15"/>
  <c r="I159" i="15"/>
  <c r="G159" i="15"/>
  <c r="J230" i="15"/>
  <c r="E157" i="15"/>
  <c r="E156" i="15"/>
  <c r="E155" i="15"/>
  <c r="J154" i="15"/>
  <c r="J227" i="15" s="1"/>
  <c r="J153" i="15"/>
  <c r="J160" i="15" s="1"/>
  <c r="E152" i="15"/>
  <c r="I151" i="15"/>
  <c r="H151" i="15"/>
  <c r="G151" i="15"/>
  <c r="J150" i="15"/>
  <c r="J149" i="15"/>
  <c r="J163" i="15" s="1"/>
  <c r="J148" i="15"/>
  <c r="J162" i="15" s="1"/>
  <c r="E146" i="15"/>
  <c r="E145" i="15"/>
  <c r="I144" i="15"/>
  <c r="H144" i="15"/>
  <c r="G144" i="15"/>
  <c r="I142" i="15"/>
  <c r="E135" i="15"/>
  <c r="E134" i="15"/>
  <c r="E133" i="15"/>
  <c r="I132" i="15"/>
  <c r="J132" i="15" s="1"/>
  <c r="E132" i="15" s="1"/>
  <c r="E131" i="15"/>
  <c r="E130" i="15"/>
  <c r="H129" i="15"/>
  <c r="G129" i="15"/>
  <c r="E128" i="15"/>
  <c r="E127" i="15"/>
  <c r="E126" i="15"/>
  <c r="E125" i="15"/>
  <c r="E124" i="15"/>
  <c r="E123" i="15"/>
  <c r="J122" i="15"/>
  <c r="I122" i="15"/>
  <c r="H122" i="15"/>
  <c r="G122" i="15"/>
  <c r="J121" i="15"/>
  <c r="J120" i="15"/>
  <c r="E120" i="15" s="1"/>
  <c r="J119" i="15"/>
  <c r="E119" i="15" s="1"/>
  <c r="J118" i="15"/>
  <c r="E118" i="15" s="1"/>
  <c r="J117" i="15"/>
  <c r="E117" i="15" s="1"/>
  <c r="J116" i="15"/>
  <c r="E116" i="15" s="1"/>
  <c r="I115" i="15"/>
  <c r="H115" i="15"/>
  <c r="G115" i="15"/>
  <c r="J114" i="15"/>
  <c r="J113" i="15"/>
  <c r="E113" i="15" s="1"/>
  <c r="J112" i="15"/>
  <c r="E112" i="15" s="1"/>
  <c r="E109" i="15"/>
  <c r="I108" i="15"/>
  <c r="J107" i="15"/>
  <c r="E107" i="15" s="1"/>
  <c r="J106" i="15"/>
  <c r="E106" i="15" s="1"/>
  <c r="J105" i="15"/>
  <c r="E105" i="15" s="1"/>
  <c r="H104" i="15"/>
  <c r="H101" i="15" s="1"/>
  <c r="E103" i="15"/>
  <c r="E102" i="15"/>
  <c r="G101" i="15"/>
  <c r="E100" i="15"/>
  <c r="E99" i="15"/>
  <c r="E98" i="15"/>
  <c r="I97" i="15"/>
  <c r="J97" i="15" s="1"/>
  <c r="J94" i="15" s="1"/>
  <c r="E96" i="15"/>
  <c r="E95" i="15"/>
  <c r="H94" i="15"/>
  <c r="G94" i="15"/>
  <c r="I93" i="15"/>
  <c r="E92" i="15"/>
  <c r="E91" i="15"/>
  <c r="J220" i="15"/>
  <c r="H220" i="15"/>
  <c r="E89" i="15"/>
  <c r="E88" i="15"/>
  <c r="G87" i="15"/>
  <c r="J86" i="15"/>
  <c r="E85" i="15"/>
  <c r="E84" i="15"/>
  <c r="J83" i="15"/>
  <c r="E82" i="15"/>
  <c r="E81" i="15"/>
  <c r="I80" i="15"/>
  <c r="J79" i="15"/>
  <c r="I78" i="15"/>
  <c r="I141" i="15" s="1"/>
  <c r="I170" i="15" s="1"/>
  <c r="I200" i="15" s="1"/>
  <c r="H78" i="15"/>
  <c r="H141" i="15" s="1"/>
  <c r="H170" i="15" s="1"/>
  <c r="G78" i="15"/>
  <c r="G141" i="15" s="1"/>
  <c r="I77" i="15"/>
  <c r="I140" i="15" s="1"/>
  <c r="H77" i="15"/>
  <c r="H140" i="15" s="1"/>
  <c r="H169" i="15" s="1"/>
  <c r="G77" i="15"/>
  <c r="G140" i="15" s="1"/>
  <c r="I76" i="15"/>
  <c r="J76" i="15" s="1"/>
  <c r="G76" i="15"/>
  <c r="G139" i="15" s="1"/>
  <c r="J75" i="15"/>
  <c r="I75" i="15"/>
  <c r="I138" i="15" s="1"/>
  <c r="I167" i="15" s="1"/>
  <c r="I197" i="15" s="1"/>
  <c r="H75" i="15"/>
  <c r="G75" i="15"/>
  <c r="G138" i="15" s="1"/>
  <c r="F167" i="15"/>
  <c r="J74" i="15"/>
  <c r="I74" i="15"/>
  <c r="I137" i="15" s="1"/>
  <c r="I166" i="15" s="1"/>
  <c r="I196" i="15" s="1"/>
  <c r="H74" i="15"/>
  <c r="H137" i="15" s="1"/>
  <c r="H166" i="15" s="1"/>
  <c r="G74" i="15"/>
  <c r="G137" i="15" s="1"/>
  <c r="J72" i="15"/>
  <c r="J71" i="15"/>
  <c r="E71" i="15" s="1"/>
  <c r="J70" i="15"/>
  <c r="E70" i="15" s="1"/>
  <c r="J69" i="15"/>
  <c r="J68" i="15"/>
  <c r="J67" i="15"/>
  <c r="I66" i="15"/>
  <c r="H66" i="15"/>
  <c r="G66" i="15"/>
  <c r="E65" i="15"/>
  <c r="E64" i="15"/>
  <c r="E63" i="15"/>
  <c r="J62" i="15"/>
  <c r="J59" i="15" s="1"/>
  <c r="E61" i="15"/>
  <c r="E60" i="15"/>
  <c r="I59" i="15"/>
  <c r="H59" i="15"/>
  <c r="G59" i="15"/>
  <c r="E58" i="15"/>
  <c r="E57" i="15"/>
  <c r="E56" i="15"/>
  <c r="E55" i="15"/>
  <c r="E54" i="15"/>
  <c r="E53" i="15"/>
  <c r="J52" i="15"/>
  <c r="I52" i="15"/>
  <c r="H52" i="15"/>
  <c r="G52" i="15"/>
  <c r="J22" i="15"/>
  <c r="J21" i="15"/>
  <c r="J20" i="15"/>
  <c r="J18" i="15"/>
  <c r="J17" i="15"/>
  <c r="I16" i="15"/>
  <c r="H16" i="15"/>
  <c r="G16" i="15"/>
  <c r="J43" i="15"/>
  <c r="J42" i="15"/>
  <c r="E42" i="15" s="1"/>
  <c r="J41" i="15"/>
  <c r="E41" i="15" s="1"/>
  <c r="H37" i="15"/>
  <c r="J39" i="15"/>
  <c r="E39" i="15" s="1"/>
  <c r="J38" i="15"/>
  <c r="E38" i="15" s="1"/>
  <c r="I37" i="15"/>
  <c r="J15" i="15"/>
  <c r="J14" i="15"/>
  <c r="J13" i="15"/>
  <c r="J12" i="15"/>
  <c r="J176" i="15" s="1"/>
  <c r="J11" i="15"/>
  <c r="J10" i="15"/>
  <c r="I9" i="15"/>
  <c r="G167" i="15" l="1"/>
  <c r="I169" i="15"/>
  <c r="I199" i="15" s="1"/>
  <c r="J80" i="15"/>
  <c r="G169" i="15"/>
  <c r="G184" i="15" s="1"/>
  <c r="H196" i="15"/>
  <c r="H181" i="15"/>
  <c r="G168" i="15"/>
  <c r="J174" i="15"/>
  <c r="J45" i="15"/>
  <c r="J178" i="15"/>
  <c r="J49" i="15"/>
  <c r="J47" i="15"/>
  <c r="J212" i="15"/>
  <c r="E212" i="15" s="1"/>
  <c r="J190" i="15"/>
  <c r="E190" i="15" s="1"/>
  <c r="J215" i="15"/>
  <c r="J193" i="15"/>
  <c r="H200" i="15"/>
  <c r="H185" i="15"/>
  <c r="E11" i="15"/>
  <c r="J175" i="15"/>
  <c r="J46" i="15"/>
  <c r="J177" i="15"/>
  <c r="E177" i="15" s="1"/>
  <c r="J48" i="15"/>
  <c r="J179" i="15"/>
  <c r="E179" i="15" s="1"/>
  <c r="J50" i="15"/>
  <c r="J211" i="15"/>
  <c r="E211" i="15" s="1"/>
  <c r="J189" i="15"/>
  <c r="E189" i="15" s="1"/>
  <c r="J214" i="15"/>
  <c r="E214" i="15" s="1"/>
  <c r="J192" i="15"/>
  <c r="E192" i="15" s="1"/>
  <c r="J194" i="15"/>
  <c r="E194" i="15" s="1"/>
  <c r="J216" i="15"/>
  <c r="E216" i="15" s="1"/>
  <c r="G166" i="15"/>
  <c r="H199" i="15"/>
  <c r="H184" i="15"/>
  <c r="I223" i="15"/>
  <c r="I79" i="15"/>
  <c r="I171" i="15"/>
  <c r="I201" i="15" s="1"/>
  <c r="J213" i="15"/>
  <c r="E191" i="15"/>
  <c r="E154" i="15"/>
  <c r="J161" i="15"/>
  <c r="E161" i="15" s="1"/>
  <c r="J151" i="15"/>
  <c r="E151" i="15" s="1"/>
  <c r="I210" i="15"/>
  <c r="E62" i="15"/>
  <c r="J108" i="15"/>
  <c r="J164" i="15"/>
  <c r="E164" i="15" s="1"/>
  <c r="G173" i="15"/>
  <c r="G188" i="15"/>
  <c r="E52" i="15"/>
  <c r="I73" i="15"/>
  <c r="I173" i="15"/>
  <c r="G210" i="15"/>
  <c r="I129" i="15"/>
  <c r="E18" i="15"/>
  <c r="E59" i="15"/>
  <c r="H80" i="15"/>
  <c r="G158" i="15"/>
  <c r="E13" i="15"/>
  <c r="E14" i="15"/>
  <c r="G37" i="15"/>
  <c r="E193" i="15"/>
  <c r="J66" i="15"/>
  <c r="G80" i="15"/>
  <c r="E163" i="15"/>
  <c r="G217" i="15"/>
  <c r="E219" i="15"/>
  <c r="G224" i="15"/>
  <c r="E15" i="15"/>
  <c r="E20" i="15"/>
  <c r="E159" i="15"/>
  <c r="E40" i="15"/>
  <c r="E22" i="15"/>
  <c r="H138" i="15"/>
  <c r="H167" i="15" s="1"/>
  <c r="I87" i="15"/>
  <c r="E153" i="15"/>
  <c r="I224" i="15"/>
  <c r="G182" i="15"/>
  <c r="E228" i="15"/>
  <c r="J16" i="15"/>
  <c r="E16" i="15" s="1"/>
  <c r="J78" i="15"/>
  <c r="J141" i="15" s="1"/>
  <c r="E141" i="15" s="1"/>
  <c r="I217" i="15"/>
  <c r="E122" i="15"/>
  <c r="F210" i="15"/>
  <c r="E222" i="15"/>
  <c r="F224" i="15"/>
  <c r="J226" i="15"/>
  <c r="J224" i="15" s="1"/>
  <c r="E230" i="15"/>
  <c r="E178" i="15"/>
  <c r="J37" i="15"/>
  <c r="J138" i="15"/>
  <c r="J167" i="15" s="1"/>
  <c r="J142" i="15"/>
  <c r="J77" i="15"/>
  <c r="E77" i="15" s="1"/>
  <c r="E83" i="15"/>
  <c r="H217" i="15"/>
  <c r="J115" i="15"/>
  <c r="E115" i="15" s="1"/>
  <c r="E148" i="15"/>
  <c r="E150" i="15"/>
  <c r="E215" i="15"/>
  <c r="E221" i="15"/>
  <c r="E225" i="15"/>
  <c r="E229" i="15"/>
  <c r="G170" i="15"/>
  <c r="E43" i="15"/>
  <c r="E17" i="15"/>
  <c r="E21" i="15"/>
  <c r="I208" i="15"/>
  <c r="J93" i="15"/>
  <c r="E111" i="15"/>
  <c r="E121" i="15"/>
  <c r="E147" i="15"/>
  <c r="E149" i="15"/>
  <c r="I158" i="15"/>
  <c r="H210" i="15"/>
  <c r="E213" i="15"/>
  <c r="F217" i="15"/>
  <c r="H224" i="15"/>
  <c r="E227" i="15"/>
  <c r="F173" i="15"/>
  <c r="E176" i="15"/>
  <c r="H207" i="15"/>
  <c r="E174" i="15"/>
  <c r="F170" i="15"/>
  <c r="F165" i="15" s="1"/>
  <c r="E160" i="15"/>
  <c r="E162" i="15"/>
  <c r="H44" i="15"/>
  <c r="G44" i="15"/>
  <c r="E220" i="15"/>
  <c r="E10" i="15"/>
  <c r="E12" i="15"/>
  <c r="E67" i="15"/>
  <c r="E69" i="15"/>
  <c r="E74" i="15"/>
  <c r="E78" i="15"/>
  <c r="E90" i="15"/>
  <c r="I94" i="15"/>
  <c r="E94" i="15" s="1"/>
  <c r="E97" i="15"/>
  <c r="I104" i="15"/>
  <c r="E110" i="15"/>
  <c r="J129" i="15"/>
  <c r="F196" i="15"/>
  <c r="J144" i="15"/>
  <c r="E144" i="15" s="1"/>
  <c r="E175" i="15"/>
  <c r="E218" i="15"/>
  <c r="J9" i="15"/>
  <c r="E72" i="15"/>
  <c r="E76" i="15"/>
  <c r="E86" i="15"/>
  <c r="H87" i="15"/>
  <c r="E68" i="15"/>
  <c r="E75" i="15"/>
  <c r="E129" i="15" l="1"/>
  <c r="G206" i="15"/>
  <c r="G183" i="15"/>
  <c r="J197" i="15"/>
  <c r="G208" i="15"/>
  <c r="G185" i="15"/>
  <c r="H182" i="15"/>
  <c r="H197" i="15"/>
  <c r="E167" i="15"/>
  <c r="J188" i="15"/>
  <c r="E188" i="15" s="1"/>
  <c r="G198" i="15"/>
  <c r="E9" i="15"/>
  <c r="E138" i="15"/>
  <c r="J158" i="15"/>
  <c r="E158" i="15" s="1"/>
  <c r="J171" i="15"/>
  <c r="H208" i="15"/>
  <c r="G205" i="15"/>
  <c r="G199" i="15"/>
  <c r="G197" i="15"/>
  <c r="E80" i="15"/>
  <c r="E37" i="15"/>
  <c r="I204" i="15"/>
  <c r="E45" i="15"/>
  <c r="G200" i="15"/>
  <c r="G207" i="15"/>
  <c r="I181" i="15"/>
  <c r="J182" i="15"/>
  <c r="E224" i="15"/>
  <c r="E226" i="15"/>
  <c r="E66" i="15"/>
  <c r="H205" i="15"/>
  <c r="I185" i="15"/>
  <c r="J173" i="15"/>
  <c r="E173" i="15" s="1"/>
  <c r="J210" i="15"/>
  <c r="E210" i="15" s="1"/>
  <c r="J73" i="15"/>
  <c r="J140" i="15"/>
  <c r="E140" i="15" s="1"/>
  <c r="J223" i="15"/>
  <c r="E93" i="15"/>
  <c r="J87" i="15"/>
  <c r="E87" i="15" s="1"/>
  <c r="J170" i="15"/>
  <c r="F181" i="15"/>
  <c r="F204" i="15"/>
  <c r="E47" i="15"/>
  <c r="G142" i="15"/>
  <c r="G171" i="15" s="1"/>
  <c r="G186" i="15" s="1"/>
  <c r="G73" i="15"/>
  <c r="F182" i="15"/>
  <c r="F205" i="15"/>
  <c r="F197" i="15"/>
  <c r="E49" i="15"/>
  <c r="E46" i="15"/>
  <c r="I207" i="15"/>
  <c r="I184" i="15"/>
  <c r="I101" i="15"/>
  <c r="I139" i="15"/>
  <c r="I168" i="15" s="1"/>
  <c r="I198" i="15" s="1"/>
  <c r="I195" i="15" s="1"/>
  <c r="J104" i="15"/>
  <c r="E104" i="15" s="1"/>
  <c r="I209" i="15"/>
  <c r="I186" i="15"/>
  <c r="G108" i="15"/>
  <c r="G204" i="15"/>
  <c r="G196" i="15"/>
  <c r="G181" i="15"/>
  <c r="F200" i="15"/>
  <c r="F185" i="15"/>
  <c r="F208" i="15"/>
  <c r="J166" i="15"/>
  <c r="J196" i="15" s="1"/>
  <c r="J44" i="15"/>
  <c r="H139" i="15"/>
  <c r="H168" i="15" s="1"/>
  <c r="H73" i="15"/>
  <c r="I205" i="15"/>
  <c r="I182" i="15"/>
  <c r="E137" i="15"/>
  <c r="H204" i="15"/>
  <c r="F184" i="15"/>
  <c r="F207" i="15"/>
  <c r="F199" i="15"/>
  <c r="E79" i="15"/>
  <c r="E48" i="15"/>
  <c r="I44" i="15"/>
  <c r="E166" i="15" l="1"/>
  <c r="J208" i="15"/>
  <c r="J200" i="15"/>
  <c r="E200" i="15" s="1"/>
  <c r="J186" i="15"/>
  <c r="J201" i="15"/>
  <c r="H198" i="15"/>
  <c r="H183" i="15"/>
  <c r="J209" i="15"/>
  <c r="E170" i="15"/>
  <c r="E197" i="15"/>
  <c r="J169" i="15"/>
  <c r="J185" i="15"/>
  <c r="E185" i="15" s="1"/>
  <c r="J205" i="15"/>
  <c r="E205" i="15" s="1"/>
  <c r="E223" i="15"/>
  <c r="J217" i="15"/>
  <c r="E217" i="15" s="1"/>
  <c r="E208" i="15"/>
  <c r="E73" i="15"/>
  <c r="E196" i="15"/>
  <c r="J181" i="15"/>
  <c r="J204" i="15"/>
  <c r="E204" i="15" s="1"/>
  <c r="G136" i="15"/>
  <c r="E50" i="15"/>
  <c r="I136" i="15"/>
  <c r="J101" i="15"/>
  <c r="E101" i="15" s="1"/>
  <c r="J139" i="15"/>
  <c r="E139" i="15" s="1"/>
  <c r="F198" i="15"/>
  <c r="F183" i="15"/>
  <c r="F206" i="15"/>
  <c r="E182" i="15"/>
  <c r="E44" i="15"/>
  <c r="J199" i="15" l="1"/>
  <c r="E199" i="15" s="1"/>
  <c r="E169" i="15"/>
  <c r="E181" i="15"/>
  <c r="J184" i="15"/>
  <c r="E184" i="15" s="1"/>
  <c r="J207" i="15"/>
  <c r="E207" i="15" s="1"/>
  <c r="G201" i="15"/>
  <c r="G195" i="15" s="1"/>
  <c r="G180" i="15"/>
  <c r="G209" i="15"/>
  <c r="G203" i="15" s="1"/>
  <c r="G165" i="15"/>
  <c r="J168" i="15"/>
  <c r="J136" i="15"/>
  <c r="I183" i="15"/>
  <c r="I180" i="15" s="1"/>
  <c r="I206" i="15"/>
  <c r="I203" i="15" s="1"/>
  <c r="I165" i="15"/>
  <c r="H206" i="15"/>
  <c r="H108" i="15"/>
  <c r="E108" i="15" s="1"/>
  <c r="H142" i="15"/>
  <c r="H171" i="15" s="1"/>
  <c r="E114" i="15"/>
  <c r="F186" i="15"/>
  <c r="F180" i="15" s="1"/>
  <c r="F209" i="15"/>
  <c r="F201" i="15"/>
  <c r="H165" i="15" l="1"/>
  <c r="H186" i="15"/>
  <c r="H180" i="15" s="1"/>
  <c r="H201" i="15"/>
  <c r="H195" i="15" s="1"/>
  <c r="E168" i="15"/>
  <c r="J198" i="15"/>
  <c r="J195" i="15" s="1"/>
  <c r="H136" i="15"/>
  <c r="E136" i="15" s="1"/>
  <c r="E142" i="15"/>
  <c r="F195" i="15"/>
  <c r="J183" i="15"/>
  <c r="J180" i="15" s="1"/>
  <c r="J206" i="15"/>
  <c r="J203" i="15" s="1"/>
  <c r="J165" i="15"/>
  <c r="F203" i="15"/>
  <c r="E206" i="15" l="1"/>
  <c r="E198" i="15"/>
  <c r="H209" i="15"/>
  <c r="E165" i="15"/>
  <c r="E171" i="15"/>
  <c r="E183" i="15"/>
  <c r="E180" i="15" l="1"/>
  <c r="E186" i="15"/>
  <c r="E209" i="15"/>
  <c r="H203" i="15"/>
  <c r="E203" i="15" s="1"/>
  <c r="E195" i="15"/>
  <c r="E201" i="15"/>
  <c r="H15" i="5" l="1"/>
  <c r="E15" i="5" s="1"/>
  <c r="F15" i="5" s="1"/>
  <c r="H62" i="1" l="1"/>
  <c r="H63" i="1"/>
  <c r="H64" i="1"/>
  <c r="H65" i="1"/>
  <c r="H66" i="1"/>
  <c r="H61" i="1"/>
  <c r="R58" i="1" l="1"/>
  <c r="R57" i="1"/>
  <c r="R56" i="1"/>
  <c r="R55" i="1"/>
  <c r="R54" i="1"/>
  <c r="R53" i="1"/>
  <c r="O53" i="1"/>
  <c r="O54" i="1"/>
  <c r="O55" i="1"/>
  <c r="O56" i="1"/>
  <c r="O57" i="1"/>
  <c r="O58" i="1"/>
  <c r="M58" i="1"/>
  <c r="M53" i="1"/>
  <c r="M54" i="1"/>
  <c r="M55" i="1"/>
  <c r="M56" i="1"/>
  <c r="M57" i="1"/>
  <c r="K58" i="1"/>
  <c r="K53" i="1"/>
  <c r="K54" i="1"/>
  <c r="K55" i="1"/>
  <c r="K56" i="1"/>
  <c r="K57" i="1"/>
  <c r="K52" i="1"/>
  <c r="K44" i="1" s="1"/>
  <c r="H53" i="1"/>
  <c r="H45" i="1" s="1"/>
  <c r="H54" i="1"/>
  <c r="H46" i="1" s="1"/>
  <c r="H56" i="1"/>
  <c r="H48" i="1" s="1"/>
  <c r="H57" i="1"/>
  <c r="H49" i="1" s="1"/>
  <c r="H58" i="1"/>
  <c r="H50" i="1" s="1"/>
  <c r="N331" i="10" l="1"/>
  <c r="N330" i="10"/>
  <c r="N329" i="10"/>
  <c r="N326" i="10"/>
  <c r="E326" i="10"/>
  <c r="N325" i="10"/>
  <c r="N324" i="10"/>
  <c r="N316" i="10"/>
  <c r="N315" i="10"/>
  <c r="N307" i="10"/>
  <c r="N299" i="10"/>
  <c r="N298" i="10"/>
  <c r="N297" i="10"/>
  <c r="N289" i="10"/>
  <c r="N288" i="10"/>
  <c r="N287" i="10"/>
  <c r="N286" i="10"/>
  <c r="N285" i="10"/>
  <c r="N284" i="10"/>
  <c r="N283" i="10"/>
  <c r="N282" i="10"/>
  <c r="N281" i="10"/>
  <c r="N280" i="10"/>
  <c r="P279" i="10"/>
  <c r="L279" i="10"/>
  <c r="K279" i="10"/>
  <c r="J279" i="10"/>
  <c r="I279" i="10"/>
  <c r="H279" i="10"/>
  <c r="G279" i="10"/>
  <c r="F279" i="10"/>
  <c r="P278" i="10"/>
  <c r="L278" i="10"/>
  <c r="K278" i="10"/>
  <c r="J278" i="10"/>
  <c r="I278" i="10"/>
  <c r="H278" i="10"/>
  <c r="G278" i="10"/>
  <c r="F278" i="10"/>
  <c r="P277" i="10"/>
  <c r="L277" i="10"/>
  <c r="K277" i="10"/>
  <c r="J277" i="10"/>
  <c r="I277" i="10"/>
  <c r="H277" i="10"/>
  <c r="G277" i="10"/>
  <c r="F277" i="10"/>
  <c r="P276" i="10"/>
  <c r="L276" i="10"/>
  <c r="K276" i="10"/>
  <c r="J276" i="10"/>
  <c r="I276" i="10"/>
  <c r="H276" i="10"/>
  <c r="G276" i="10"/>
  <c r="F276" i="10"/>
  <c r="P275" i="10"/>
  <c r="L275" i="10"/>
  <c r="K275" i="10"/>
  <c r="J275" i="10"/>
  <c r="I275" i="10"/>
  <c r="I327" i="10" s="1"/>
  <c r="N327" i="10" s="1"/>
  <c r="H275" i="10"/>
  <c r="G275" i="10"/>
  <c r="F275" i="10"/>
  <c r="P274" i="10"/>
  <c r="L274" i="10"/>
  <c r="K274" i="10"/>
  <c r="J274" i="10"/>
  <c r="I274" i="10"/>
  <c r="H274" i="10"/>
  <c r="H273" i="10" s="1"/>
  <c r="G274" i="10"/>
  <c r="F274" i="10"/>
  <c r="P272" i="10"/>
  <c r="L272" i="10"/>
  <c r="K272" i="10"/>
  <c r="J272" i="10"/>
  <c r="I272" i="10"/>
  <c r="H272" i="10"/>
  <c r="G272" i="10"/>
  <c r="F272" i="10"/>
  <c r="P271" i="10"/>
  <c r="L271" i="10"/>
  <c r="K271" i="10"/>
  <c r="J271" i="10"/>
  <c r="I271" i="10"/>
  <c r="H271" i="10"/>
  <c r="G271" i="10"/>
  <c r="F271" i="10"/>
  <c r="P270" i="10"/>
  <c r="L270" i="10"/>
  <c r="K270" i="10"/>
  <c r="J270" i="10"/>
  <c r="I270" i="10"/>
  <c r="H270" i="10"/>
  <c r="G270" i="10"/>
  <c r="F270" i="10"/>
  <c r="P269" i="10"/>
  <c r="K269" i="10"/>
  <c r="J269" i="10"/>
  <c r="I269" i="10"/>
  <c r="P268" i="10"/>
  <c r="L268" i="10"/>
  <c r="K268" i="10"/>
  <c r="J268" i="10"/>
  <c r="I268" i="10"/>
  <c r="H268" i="10"/>
  <c r="G268" i="10"/>
  <c r="F268" i="10"/>
  <c r="P267" i="10"/>
  <c r="L267" i="10"/>
  <c r="K267" i="10"/>
  <c r="J267" i="10"/>
  <c r="I267" i="10"/>
  <c r="H267" i="10"/>
  <c r="G267" i="10"/>
  <c r="F267" i="10"/>
  <c r="L265" i="10"/>
  <c r="K265" i="10"/>
  <c r="J265" i="10"/>
  <c r="H265" i="10"/>
  <c r="G265" i="10"/>
  <c r="F265" i="10"/>
  <c r="P264" i="10"/>
  <c r="L264" i="10"/>
  <c r="K264" i="10"/>
  <c r="J264" i="10"/>
  <c r="I264" i="10"/>
  <c r="N264" i="10" s="1"/>
  <c r="H264" i="10"/>
  <c r="G264" i="10"/>
  <c r="F264" i="10"/>
  <c r="P263" i="10"/>
  <c r="L263" i="10"/>
  <c r="K263" i="10"/>
  <c r="J263" i="10"/>
  <c r="I263" i="10"/>
  <c r="N263" i="10" s="1"/>
  <c r="H263" i="10"/>
  <c r="G263" i="10"/>
  <c r="F263" i="10"/>
  <c r="L262" i="10"/>
  <c r="K262" i="10"/>
  <c r="J262" i="10"/>
  <c r="G262" i="10"/>
  <c r="P261" i="10"/>
  <c r="L261" i="10"/>
  <c r="K261" i="10"/>
  <c r="J261" i="10"/>
  <c r="I261" i="10"/>
  <c r="H261" i="10"/>
  <c r="G261" i="10"/>
  <c r="F261" i="10"/>
  <c r="P260" i="10"/>
  <c r="L260" i="10"/>
  <c r="K260" i="10"/>
  <c r="J260" i="10"/>
  <c r="I260" i="10"/>
  <c r="H260" i="10"/>
  <c r="G260" i="10"/>
  <c r="F260" i="10"/>
  <c r="P258" i="10"/>
  <c r="J258" i="10"/>
  <c r="H258" i="10"/>
  <c r="P257" i="10"/>
  <c r="L257" i="10"/>
  <c r="K257" i="10"/>
  <c r="J257" i="10"/>
  <c r="I257" i="10"/>
  <c r="N257" i="10" s="1"/>
  <c r="H257" i="10"/>
  <c r="P256" i="10"/>
  <c r="L256" i="10"/>
  <c r="K256" i="10"/>
  <c r="J256" i="10"/>
  <c r="I256" i="10"/>
  <c r="H256" i="10"/>
  <c r="P255" i="10"/>
  <c r="K255" i="10"/>
  <c r="J255" i="10"/>
  <c r="H255" i="10"/>
  <c r="P254" i="10"/>
  <c r="L254" i="10"/>
  <c r="K254" i="10"/>
  <c r="J254" i="10"/>
  <c r="I254" i="10"/>
  <c r="N254" i="10" s="1"/>
  <c r="H254" i="10"/>
  <c r="P253" i="10"/>
  <c r="L253" i="10"/>
  <c r="K253" i="10"/>
  <c r="J253" i="10"/>
  <c r="I253" i="10"/>
  <c r="H253" i="10"/>
  <c r="G252" i="10"/>
  <c r="F252" i="10"/>
  <c r="R248" i="10"/>
  <c r="R249" i="10" s="1"/>
  <c r="N244" i="10"/>
  <c r="L236" i="10"/>
  <c r="K236" i="10"/>
  <c r="J236" i="10"/>
  <c r="H236" i="10"/>
  <c r="G236" i="10"/>
  <c r="F236" i="10"/>
  <c r="P235" i="10"/>
  <c r="L235" i="10"/>
  <c r="K235" i="10"/>
  <c r="J235" i="10"/>
  <c r="I235" i="10"/>
  <c r="H235" i="10"/>
  <c r="G235" i="10"/>
  <c r="F235" i="10"/>
  <c r="P234" i="10"/>
  <c r="L234" i="10"/>
  <c r="K234" i="10"/>
  <c r="J234" i="10"/>
  <c r="I234" i="10"/>
  <c r="H234" i="10"/>
  <c r="G234" i="10"/>
  <c r="F234" i="10"/>
  <c r="L233" i="10"/>
  <c r="K233" i="10"/>
  <c r="J233" i="10"/>
  <c r="G233" i="10"/>
  <c r="P232" i="10"/>
  <c r="L232" i="10"/>
  <c r="K232" i="10"/>
  <c r="J232" i="10"/>
  <c r="I232" i="10"/>
  <c r="H232" i="10"/>
  <c r="G232" i="10"/>
  <c r="F232" i="10"/>
  <c r="P231" i="10"/>
  <c r="L231" i="10"/>
  <c r="K231" i="10"/>
  <c r="J231" i="10"/>
  <c r="I231" i="10"/>
  <c r="H231" i="10"/>
  <c r="G231" i="10"/>
  <c r="F231" i="10"/>
  <c r="P221" i="10"/>
  <c r="L221" i="10"/>
  <c r="K221" i="10"/>
  <c r="J221" i="10"/>
  <c r="I221" i="10"/>
  <c r="H221" i="10"/>
  <c r="G221" i="10"/>
  <c r="F221" i="10"/>
  <c r="P220" i="10"/>
  <c r="L220" i="10"/>
  <c r="K220" i="10"/>
  <c r="J220" i="10"/>
  <c r="I220" i="10"/>
  <c r="H220" i="10"/>
  <c r="G220" i="10"/>
  <c r="F220" i="10"/>
  <c r="P219" i="10"/>
  <c r="L219" i="10"/>
  <c r="K219" i="10"/>
  <c r="J219" i="10"/>
  <c r="I219" i="10"/>
  <c r="H219" i="10"/>
  <c r="G219" i="10"/>
  <c r="F219" i="10"/>
  <c r="P218" i="10"/>
  <c r="L218" i="10"/>
  <c r="K218" i="10"/>
  <c r="J218" i="10"/>
  <c r="I218" i="10"/>
  <c r="H218" i="10"/>
  <c r="G218" i="10"/>
  <c r="F218" i="10"/>
  <c r="P217" i="10"/>
  <c r="L217" i="10"/>
  <c r="K217" i="10"/>
  <c r="J217" i="10"/>
  <c r="I217" i="10"/>
  <c r="H217" i="10"/>
  <c r="G217" i="10"/>
  <c r="F217" i="10"/>
  <c r="P216" i="10"/>
  <c r="P215" i="10" s="1"/>
  <c r="L216" i="10"/>
  <c r="L215" i="10" s="1"/>
  <c r="K216" i="10"/>
  <c r="K215" i="10" s="1"/>
  <c r="J216" i="10"/>
  <c r="J215" i="10" s="1"/>
  <c r="I216" i="10"/>
  <c r="H216" i="10"/>
  <c r="H215" i="10" s="1"/>
  <c r="G216" i="10"/>
  <c r="G215" i="10" s="1"/>
  <c r="F216" i="10"/>
  <c r="N214" i="10"/>
  <c r="N199" i="10"/>
  <c r="E199" i="10"/>
  <c r="N198" i="10"/>
  <c r="E198" i="10"/>
  <c r="N197" i="10"/>
  <c r="E197" i="10"/>
  <c r="N196" i="10"/>
  <c r="L196" i="10"/>
  <c r="E196" i="10" s="1"/>
  <c r="N195" i="10"/>
  <c r="E195" i="10"/>
  <c r="N194" i="10"/>
  <c r="E194" i="10"/>
  <c r="P193" i="10"/>
  <c r="K193" i="10"/>
  <c r="J193" i="10"/>
  <c r="I193" i="10"/>
  <c r="H193" i="10"/>
  <c r="G193" i="10"/>
  <c r="F193" i="10"/>
  <c r="I192" i="10"/>
  <c r="N192" i="10" s="1"/>
  <c r="N191" i="10"/>
  <c r="E191" i="10"/>
  <c r="N190" i="10"/>
  <c r="E190" i="10"/>
  <c r="L189" i="10"/>
  <c r="I189" i="10"/>
  <c r="N189" i="10" s="1"/>
  <c r="N188" i="10"/>
  <c r="E188" i="10"/>
  <c r="N187" i="10"/>
  <c r="E187" i="10"/>
  <c r="P186" i="10"/>
  <c r="J186" i="10"/>
  <c r="K192" i="10" s="1"/>
  <c r="H186" i="10"/>
  <c r="G186" i="10"/>
  <c r="F186" i="10"/>
  <c r="P185" i="10"/>
  <c r="P178" i="10" s="1"/>
  <c r="P206" i="10" s="1"/>
  <c r="I185" i="10"/>
  <c r="N184" i="10"/>
  <c r="E184" i="10"/>
  <c r="N183" i="10"/>
  <c r="E183" i="10"/>
  <c r="P182" i="10"/>
  <c r="P175" i="10" s="1"/>
  <c r="P203" i="10" s="1"/>
  <c r="K182" i="10"/>
  <c r="L182" i="10" s="1"/>
  <c r="J182" i="10"/>
  <c r="J179" i="10" s="1"/>
  <c r="I182" i="10"/>
  <c r="H182" i="10"/>
  <c r="H175" i="10" s="1"/>
  <c r="H203" i="10" s="1"/>
  <c r="G182" i="10"/>
  <c r="G175" i="10" s="1"/>
  <c r="G203" i="10" s="1"/>
  <c r="F182" i="10"/>
  <c r="F179" i="10" s="1"/>
  <c r="N181" i="10"/>
  <c r="E181" i="10"/>
  <c r="N180" i="10"/>
  <c r="E180" i="10"/>
  <c r="I179" i="10"/>
  <c r="H179" i="10"/>
  <c r="J178" i="10"/>
  <c r="J206" i="10" s="1"/>
  <c r="H178" i="10"/>
  <c r="H206" i="10" s="1"/>
  <c r="G178" i="10"/>
  <c r="G206" i="10" s="1"/>
  <c r="F178" i="10"/>
  <c r="F206" i="10" s="1"/>
  <c r="P177" i="10"/>
  <c r="P205" i="10" s="1"/>
  <c r="L177" i="10"/>
  <c r="L205" i="10" s="1"/>
  <c r="K177" i="10"/>
  <c r="K205" i="10" s="1"/>
  <c r="J177" i="10"/>
  <c r="J205" i="10" s="1"/>
  <c r="I177" i="10"/>
  <c r="I205" i="10" s="1"/>
  <c r="H177" i="10"/>
  <c r="H205" i="10" s="1"/>
  <c r="G177" i="10"/>
  <c r="G205" i="10" s="1"/>
  <c r="F177" i="10"/>
  <c r="F205" i="10" s="1"/>
  <c r="P176" i="10"/>
  <c r="P204" i="10" s="1"/>
  <c r="L176" i="10"/>
  <c r="L204" i="10" s="1"/>
  <c r="K176" i="10"/>
  <c r="K204" i="10" s="1"/>
  <c r="J176" i="10"/>
  <c r="J204" i="10" s="1"/>
  <c r="I176" i="10"/>
  <c r="I204" i="10" s="1"/>
  <c r="H176" i="10"/>
  <c r="H204" i="10" s="1"/>
  <c r="G176" i="10"/>
  <c r="G204" i="10" s="1"/>
  <c r="F176" i="10"/>
  <c r="F204" i="10" s="1"/>
  <c r="P174" i="10"/>
  <c r="P202" i="10" s="1"/>
  <c r="L174" i="10"/>
  <c r="L202" i="10" s="1"/>
  <c r="K174" i="10"/>
  <c r="K202" i="10" s="1"/>
  <c r="J174" i="10"/>
  <c r="J202" i="10" s="1"/>
  <c r="I174" i="10"/>
  <c r="I202" i="10" s="1"/>
  <c r="H174" i="10"/>
  <c r="H202" i="10" s="1"/>
  <c r="G174" i="10"/>
  <c r="G202" i="10" s="1"/>
  <c r="F174" i="10"/>
  <c r="F202" i="10" s="1"/>
  <c r="P173" i="10"/>
  <c r="P201" i="10" s="1"/>
  <c r="L173" i="10"/>
  <c r="K173" i="10"/>
  <c r="J173" i="10"/>
  <c r="J201" i="10" s="1"/>
  <c r="I173" i="10"/>
  <c r="I201" i="10" s="1"/>
  <c r="H173" i="10"/>
  <c r="G173" i="10"/>
  <c r="F173" i="10"/>
  <c r="F201" i="10" s="1"/>
  <c r="N171" i="10"/>
  <c r="N163" i="10"/>
  <c r="E163" i="10"/>
  <c r="N162" i="10"/>
  <c r="E162" i="10"/>
  <c r="N161" i="10"/>
  <c r="E161" i="10"/>
  <c r="N160" i="10"/>
  <c r="E160" i="10"/>
  <c r="N159" i="10"/>
  <c r="E159" i="10"/>
  <c r="N158" i="10"/>
  <c r="E158" i="10"/>
  <c r="P157" i="10"/>
  <c r="L157" i="10"/>
  <c r="K157" i="10"/>
  <c r="J157" i="10"/>
  <c r="I157" i="10"/>
  <c r="H157" i="10"/>
  <c r="G157" i="10"/>
  <c r="F157" i="10"/>
  <c r="I156" i="10"/>
  <c r="N156" i="10" s="1"/>
  <c r="N155" i="10"/>
  <c r="E155" i="10"/>
  <c r="N154" i="10"/>
  <c r="E154" i="10"/>
  <c r="L153" i="10"/>
  <c r="I153" i="10"/>
  <c r="N152" i="10"/>
  <c r="E152" i="10"/>
  <c r="N151" i="10"/>
  <c r="E151" i="10"/>
  <c r="P150" i="10"/>
  <c r="K150" i="10"/>
  <c r="J150" i="10"/>
  <c r="H150" i="10"/>
  <c r="G150" i="10"/>
  <c r="F150" i="10"/>
  <c r="R149" i="10"/>
  <c r="P149" i="10"/>
  <c r="P142" i="10" s="1"/>
  <c r="N148" i="10"/>
  <c r="E148" i="10"/>
  <c r="N147" i="10"/>
  <c r="E147" i="10"/>
  <c r="P146" i="10"/>
  <c r="K146" i="10"/>
  <c r="J146" i="10"/>
  <c r="I146" i="10"/>
  <c r="H146" i="10"/>
  <c r="G146" i="10"/>
  <c r="G143" i="10" s="1"/>
  <c r="F146" i="10"/>
  <c r="F139" i="10" s="1"/>
  <c r="P145" i="10"/>
  <c r="K145" i="10"/>
  <c r="K138" i="10" s="1"/>
  <c r="J145" i="10"/>
  <c r="J138" i="10" s="1"/>
  <c r="I145" i="10"/>
  <c r="H145" i="10"/>
  <c r="H138" i="10" s="1"/>
  <c r="F145" i="10"/>
  <c r="N144" i="10"/>
  <c r="F144" i="10"/>
  <c r="E144" i="10" s="1"/>
  <c r="K142" i="10"/>
  <c r="J142" i="10"/>
  <c r="H142" i="10"/>
  <c r="G142" i="10"/>
  <c r="F142" i="10"/>
  <c r="P141" i="10"/>
  <c r="L141" i="10"/>
  <c r="K141" i="10"/>
  <c r="J141" i="10"/>
  <c r="I141" i="10"/>
  <c r="H141" i="10"/>
  <c r="G141" i="10"/>
  <c r="F141" i="10"/>
  <c r="P140" i="10"/>
  <c r="L140" i="10"/>
  <c r="K140" i="10"/>
  <c r="J140" i="10"/>
  <c r="I140" i="10"/>
  <c r="H140" i="10"/>
  <c r="G140" i="10"/>
  <c r="F140" i="10"/>
  <c r="P139" i="10"/>
  <c r="L138" i="10"/>
  <c r="G138" i="10"/>
  <c r="P137" i="10"/>
  <c r="L137" i="10"/>
  <c r="K137" i="10"/>
  <c r="J137" i="10"/>
  <c r="I137" i="10"/>
  <c r="H137" i="10"/>
  <c r="G137" i="10"/>
  <c r="I135" i="10"/>
  <c r="N135" i="10" s="1"/>
  <c r="N134" i="10"/>
  <c r="E134" i="10"/>
  <c r="N133" i="10"/>
  <c r="E133" i="10"/>
  <c r="N132" i="10"/>
  <c r="L132" i="10"/>
  <c r="N131" i="10"/>
  <c r="E131" i="10"/>
  <c r="N130" i="10"/>
  <c r="E130" i="10"/>
  <c r="P129" i="10"/>
  <c r="K129" i="10"/>
  <c r="J129" i="10"/>
  <c r="H129" i="10"/>
  <c r="G129" i="10"/>
  <c r="F129" i="10"/>
  <c r="N128" i="10"/>
  <c r="E128" i="10"/>
  <c r="N127" i="10"/>
  <c r="E127" i="10"/>
  <c r="N126" i="10"/>
  <c r="E126" i="10"/>
  <c r="N125" i="10"/>
  <c r="E125" i="10"/>
  <c r="N124" i="10"/>
  <c r="E124" i="10"/>
  <c r="N123" i="10"/>
  <c r="E123" i="10"/>
  <c r="P122" i="10"/>
  <c r="L122" i="10"/>
  <c r="K122" i="10"/>
  <c r="J122" i="10"/>
  <c r="I122" i="10"/>
  <c r="H122" i="10"/>
  <c r="G122" i="10"/>
  <c r="F122" i="10"/>
  <c r="N121" i="10"/>
  <c r="E121" i="10"/>
  <c r="N120" i="10"/>
  <c r="E120" i="10"/>
  <c r="N119" i="10"/>
  <c r="E119" i="10"/>
  <c r="N118" i="10"/>
  <c r="L118" i="10"/>
  <c r="L269" i="10" s="1"/>
  <c r="L266" i="10" s="1"/>
  <c r="H118" i="10"/>
  <c r="H269" i="10" s="1"/>
  <c r="G118" i="10"/>
  <c r="G269" i="10" s="1"/>
  <c r="F118" i="10"/>
  <c r="F269" i="10" s="1"/>
  <c r="N117" i="10"/>
  <c r="E117" i="10"/>
  <c r="N116" i="10"/>
  <c r="E116" i="10"/>
  <c r="P115" i="10"/>
  <c r="K115" i="10"/>
  <c r="J115" i="10"/>
  <c r="I115" i="10"/>
  <c r="I114" i="10"/>
  <c r="I100" i="10" s="1"/>
  <c r="N113" i="10"/>
  <c r="E113" i="10"/>
  <c r="N112" i="10"/>
  <c r="E112" i="10"/>
  <c r="L111" i="10"/>
  <c r="I111" i="10"/>
  <c r="N111" i="10" s="1"/>
  <c r="N110" i="10"/>
  <c r="E110" i="10"/>
  <c r="N109" i="10"/>
  <c r="E109" i="10"/>
  <c r="R108" i="10"/>
  <c r="P108" i="10"/>
  <c r="J108" i="10"/>
  <c r="K114" i="10" s="1"/>
  <c r="H108" i="10"/>
  <c r="G108" i="10"/>
  <c r="F108" i="10"/>
  <c r="P107" i="10"/>
  <c r="N107" i="10" s="1"/>
  <c r="N106" i="10"/>
  <c r="E106" i="10"/>
  <c r="N105" i="10"/>
  <c r="E105" i="10"/>
  <c r="P104" i="10"/>
  <c r="K104" i="10"/>
  <c r="K97" i="10" s="1"/>
  <c r="J104" i="10"/>
  <c r="J101" i="10" s="1"/>
  <c r="I104" i="10"/>
  <c r="H104" i="10"/>
  <c r="G104" i="10"/>
  <c r="G101" i="10" s="1"/>
  <c r="F104" i="10"/>
  <c r="N103" i="10"/>
  <c r="E103" i="10"/>
  <c r="N102" i="10"/>
  <c r="E102" i="10"/>
  <c r="I101" i="10"/>
  <c r="J100" i="10"/>
  <c r="H100" i="10"/>
  <c r="G100" i="10"/>
  <c r="F100" i="10"/>
  <c r="P99" i="10"/>
  <c r="L99" i="10"/>
  <c r="K99" i="10"/>
  <c r="J99" i="10"/>
  <c r="I99" i="10"/>
  <c r="H99" i="10"/>
  <c r="G99" i="10"/>
  <c r="F99" i="10"/>
  <c r="P98" i="10"/>
  <c r="L98" i="10"/>
  <c r="K98" i="10"/>
  <c r="J98" i="10"/>
  <c r="I98" i="10"/>
  <c r="H98" i="10"/>
  <c r="G98" i="10"/>
  <c r="F98" i="10"/>
  <c r="P96" i="10"/>
  <c r="L96" i="10"/>
  <c r="K96" i="10"/>
  <c r="J96" i="10"/>
  <c r="I96" i="10"/>
  <c r="H96" i="10"/>
  <c r="G96" i="10"/>
  <c r="F96" i="10"/>
  <c r="P95" i="10"/>
  <c r="L95" i="10"/>
  <c r="K95" i="10"/>
  <c r="J95" i="10"/>
  <c r="I95" i="10"/>
  <c r="H95" i="10"/>
  <c r="G95" i="10"/>
  <c r="F95" i="10"/>
  <c r="I93" i="10"/>
  <c r="N92" i="10"/>
  <c r="E92" i="10"/>
  <c r="N91" i="10"/>
  <c r="E91" i="10"/>
  <c r="L90" i="10"/>
  <c r="I90" i="10"/>
  <c r="H90" i="10"/>
  <c r="H87" i="10" s="1"/>
  <c r="G90" i="10"/>
  <c r="F90" i="10"/>
  <c r="N89" i="10"/>
  <c r="E89" i="10"/>
  <c r="N88" i="10"/>
  <c r="E88" i="10"/>
  <c r="P87" i="10"/>
  <c r="J87" i="10"/>
  <c r="K93" i="10" s="1"/>
  <c r="N86" i="10"/>
  <c r="E86" i="10"/>
  <c r="N85" i="10"/>
  <c r="E85" i="10"/>
  <c r="N84" i="10"/>
  <c r="E84" i="10"/>
  <c r="N83" i="10"/>
  <c r="E83" i="10"/>
  <c r="N82" i="10"/>
  <c r="E82" i="10"/>
  <c r="N81" i="10"/>
  <c r="E81" i="10"/>
  <c r="P80" i="10"/>
  <c r="L80" i="10"/>
  <c r="K80" i="10"/>
  <c r="J80" i="10"/>
  <c r="I80" i="10"/>
  <c r="H80" i="10"/>
  <c r="G80" i="10"/>
  <c r="F80" i="10"/>
  <c r="N79" i="10"/>
  <c r="N71" i="10"/>
  <c r="E71" i="10"/>
  <c r="N70" i="10"/>
  <c r="E70" i="10"/>
  <c r="N69" i="10"/>
  <c r="E69" i="10"/>
  <c r="N68" i="10"/>
  <c r="E68" i="10"/>
  <c r="N67" i="10"/>
  <c r="E67" i="10"/>
  <c r="N66" i="10"/>
  <c r="E66" i="10"/>
  <c r="P65" i="10"/>
  <c r="L65" i="10"/>
  <c r="K65" i="10"/>
  <c r="J65" i="10"/>
  <c r="I65" i="10"/>
  <c r="H65" i="10"/>
  <c r="G65" i="10"/>
  <c r="F65" i="10"/>
  <c r="N64" i="10"/>
  <c r="E64" i="10"/>
  <c r="N63" i="10"/>
  <c r="E63" i="10"/>
  <c r="N62" i="10"/>
  <c r="E62" i="10"/>
  <c r="N61" i="10"/>
  <c r="H61" i="10"/>
  <c r="H58" i="10" s="1"/>
  <c r="G61" i="10"/>
  <c r="G58" i="10" s="1"/>
  <c r="F61" i="10"/>
  <c r="N60" i="10"/>
  <c r="F60" i="10"/>
  <c r="E60" i="10" s="1"/>
  <c r="N59" i="10"/>
  <c r="E59" i="10"/>
  <c r="P58" i="10"/>
  <c r="L58" i="10"/>
  <c r="K58" i="10"/>
  <c r="J58" i="10"/>
  <c r="I58" i="10"/>
  <c r="P57" i="10"/>
  <c r="I57" i="10"/>
  <c r="N56" i="10"/>
  <c r="E56" i="10"/>
  <c r="N55" i="10"/>
  <c r="E55" i="10"/>
  <c r="P54" i="10"/>
  <c r="I54" i="10"/>
  <c r="H54" i="10"/>
  <c r="H51" i="10" s="1"/>
  <c r="F54" i="10"/>
  <c r="F51" i="10" s="1"/>
  <c r="N53" i="10"/>
  <c r="E53" i="10"/>
  <c r="N52" i="10"/>
  <c r="E52" i="10"/>
  <c r="L51" i="10"/>
  <c r="K51" i="10"/>
  <c r="J51" i="10"/>
  <c r="G51" i="10"/>
  <c r="R50" i="10"/>
  <c r="P50" i="10"/>
  <c r="I50" i="10"/>
  <c r="E50" i="10" s="1"/>
  <c r="N49" i="10"/>
  <c r="E49" i="10"/>
  <c r="N48" i="10"/>
  <c r="E48" i="10"/>
  <c r="P47" i="10"/>
  <c r="I47" i="10"/>
  <c r="H47" i="10"/>
  <c r="N46" i="10"/>
  <c r="H46" i="10"/>
  <c r="H39" i="10" s="1"/>
  <c r="H74" i="10" s="1"/>
  <c r="G46" i="10"/>
  <c r="G44" i="10" s="1"/>
  <c r="F46" i="10"/>
  <c r="F39" i="10" s="1"/>
  <c r="N45" i="10"/>
  <c r="E45" i="10"/>
  <c r="L44" i="10"/>
  <c r="K44" i="10"/>
  <c r="J44" i="10"/>
  <c r="L43" i="10"/>
  <c r="L78" i="10" s="1"/>
  <c r="K43" i="10"/>
  <c r="K78" i="10" s="1"/>
  <c r="J43" i="10"/>
  <c r="J78" i="10" s="1"/>
  <c r="H43" i="10"/>
  <c r="H78" i="10" s="1"/>
  <c r="G43" i="10"/>
  <c r="G78" i="10" s="1"/>
  <c r="F43" i="10"/>
  <c r="P42" i="10"/>
  <c r="P77" i="10" s="1"/>
  <c r="L42" i="10"/>
  <c r="L77" i="10" s="1"/>
  <c r="K42" i="10"/>
  <c r="K77" i="10" s="1"/>
  <c r="J42" i="10"/>
  <c r="J77" i="10" s="1"/>
  <c r="I42" i="10"/>
  <c r="I77" i="10" s="1"/>
  <c r="H42" i="10"/>
  <c r="H77" i="10" s="1"/>
  <c r="G42" i="10"/>
  <c r="G77" i="10" s="1"/>
  <c r="F42" i="10"/>
  <c r="F77" i="10" s="1"/>
  <c r="P41" i="10"/>
  <c r="P76" i="10" s="1"/>
  <c r="L41" i="10"/>
  <c r="L76" i="10" s="1"/>
  <c r="K41" i="10"/>
  <c r="K76" i="10" s="1"/>
  <c r="J41" i="10"/>
  <c r="J76" i="10" s="1"/>
  <c r="I41" i="10"/>
  <c r="I76" i="10" s="1"/>
  <c r="H41" i="10"/>
  <c r="H76" i="10" s="1"/>
  <c r="G41" i="10"/>
  <c r="G76" i="10" s="1"/>
  <c r="F41" i="10"/>
  <c r="L40" i="10"/>
  <c r="L75" i="10" s="1"/>
  <c r="K40" i="10"/>
  <c r="K75" i="10" s="1"/>
  <c r="J40" i="10"/>
  <c r="J75" i="10" s="1"/>
  <c r="G40" i="10"/>
  <c r="P39" i="10"/>
  <c r="P74" i="10" s="1"/>
  <c r="L39" i="10"/>
  <c r="L74" i="10" s="1"/>
  <c r="K39" i="10"/>
  <c r="K74" i="10" s="1"/>
  <c r="J39" i="10"/>
  <c r="J74" i="10" s="1"/>
  <c r="I39" i="10"/>
  <c r="I74" i="10" s="1"/>
  <c r="P38" i="10"/>
  <c r="P73" i="10" s="1"/>
  <c r="L38" i="10"/>
  <c r="L73" i="10" s="1"/>
  <c r="K38" i="10"/>
  <c r="K73" i="10" s="1"/>
  <c r="J38" i="10"/>
  <c r="J73" i="10" s="1"/>
  <c r="I38" i="10"/>
  <c r="I73" i="10" s="1"/>
  <c r="H38" i="10"/>
  <c r="H73" i="10" s="1"/>
  <c r="G38" i="10"/>
  <c r="G73" i="10" s="1"/>
  <c r="F38" i="10"/>
  <c r="F73" i="10" s="1"/>
  <c r="N36" i="10"/>
  <c r="E36" i="10"/>
  <c r="N35" i="10"/>
  <c r="E35" i="10"/>
  <c r="N34" i="10"/>
  <c r="E34" i="10"/>
  <c r="N33" i="10"/>
  <c r="E33" i="10"/>
  <c r="N32" i="10"/>
  <c r="E32" i="10"/>
  <c r="N31" i="10"/>
  <c r="E31" i="10"/>
  <c r="P30" i="10"/>
  <c r="L30" i="10"/>
  <c r="K30" i="10"/>
  <c r="J30" i="10"/>
  <c r="I30" i="10"/>
  <c r="H30" i="10"/>
  <c r="G30" i="10"/>
  <c r="F30" i="10"/>
  <c r="E29" i="10"/>
  <c r="E28" i="10"/>
  <c r="E27" i="10"/>
  <c r="E26" i="10"/>
  <c r="E25" i="10"/>
  <c r="E24" i="10"/>
  <c r="P23" i="10"/>
  <c r="L23" i="10"/>
  <c r="K23" i="10"/>
  <c r="J23" i="10"/>
  <c r="I23" i="10"/>
  <c r="H23" i="10"/>
  <c r="G23" i="10"/>
  <c r="F23" i="10"/>
  <c r="E22" i="10"/>
  <c r="E21" i="10"/>
  <c r="E20" i="10"/>
  <c r="E19" i="10"/>
  <c r="E18" i="10"/>
  <c r="E17" i="10"/>
  <c r="P16" i="10"/>
  <c r="L16" i="10"/>
  <c r="K16" i="10"/>
  <c r="J16" i="10"/>
  <c r="I16" i="10"/>
  <c r="H16" i="10"/>
  <c r="G16" i="10"/>
  <c r="F16" i="10"/>
  <c r="E15" i="10"/>
  <c r="E14" i="10"/>
  <c r="E13" i="10"/>
  <c r="E12" i="10"/>
  <c r="E11" i="10"/>
  <c r="E10" i="10"/>
  <c r="P9" i="10"/>
  <c r="L9" i="10"/>
  <c r="K9" i="10"/>
  <c r="J9" i="10"/>
  <c r="I9" i="10"/>
  <c r="H9" i="10"/>
  <c r="G9" i="10"/>
  <c r="F9" i="10"/>
  <c r="H266" i="10" l="1"/>
  <c r="G75" i="10"/>
  <c r="P100" i="10"/>
  <c r="G266" i="10"/>
  <c r="H168" i="10"/>
  <c r="H211" i="10" s="1"/>
  <c r="H169" i="10"/>
  <c r="H212" i="10" s="1"/>
  <c r="H242" i="10" s="1"/>
  <c r="H305" i="10" s="1"/>
  <c r="H170" i="10"/>
  <c r="H213" i="10" s="1"/>
  <c r="P101" i="10"/>
  <c r="N101" i="10" s="1"/>
  <c r="P165" i="10"/>
  <c r="P208" i="10" s="1"/>
  <c r="F273" i="10"/>
  <c r="N193" i="10"/>
  <c r="L168" i="10"/>
  <c r="L169" i="10"/>
  <c r="L212" i="10" s="1"/>
  <c r="P273" i="10"/>
  <c r="I175" i="10"/>
  <c r="I203" i="10" s="1"/>
  <c r="H97" i="10"/>
  <c r="H94" i="10" s="1"/>
  <c r="P43" i="10"/>
  <c r="P78" i="10" s="1"/>
  <c r="J97" i="10"/>
  <c r="N122" i="10"/>
  <c r="N234" i="10"/>
  <c r="H115" i="10"/>
  <c r="I165" i="10"/>
  <c r="F40" i="10"/>
  <c r="F75" i="10" s="1"/>
  <c r="L259" i="10"/>
  <c r="G165" i="10"/>
  <c r="K165" i="10"/>
  <c r="P97" i="10"/>
  <c r="N100" i="10"/>
  <c r="J175" i="10"/>
  <c r="J203" i="10" s="1"/>
  <c r="J200" i="10" s="1"/>
  <c r="L175" i="10"/>
  <c r="F175" i="10"/>
  <c r="F203" i="10" s="1"/>
  <c r="L211" i="10"/>
  <c r="L249" i="10" s="1"/>
  <c r="L312" i="10" s="1"/>
  <c r="N185" i="10"/>
  <c r="P40" i="10"/>
  <c r="P75" i="10" s="1"/>
  <c r="E153" i="10"/>
  <c r="N182" i="10"/>
  <c r="P51" i="10"/>
  <c r="G168" i="10"/>
  <c r="G211" i="10" s="1"/>
  <c r="G169" i="10"/>
  <c r="G212" i="10" s="1"/>
  <c r="G322" i="10" s="1"/>
  <c r="G170" i="10"/>
  <c r="G213" i="10" s="1"/>
  <c r="J165" i="10"/>
  <c r="L156" i="10"/>
  <c r="E156" i="10" s="1"/>
  <c r="E189" i="10"/>
  <c r="N235" i="10"/>
  <c r="K37" i="10"/>
  <c r="N146" i="10"/>
  <c r="E65" i="10"/>
  <c r="N145" i="10"/>
  <c r="K143" i="10"/>
  <c r="K259" i="10"/>
  <c r="E263" i="10"/>
  <c r="N267" i="10"/>
  <c r="N268" i="10"/>
  <c r="I87" i="10"/>
  <c r="N87" i="10" s="1"/>
  <c r="P167" i="10"/>
  <c r="P168" i="10"/>
  <c r="P169" i="10"/>
  <c r="P212" i="10" s="1"/>
  <c r="P250" i="10" s="1"/>
  <c r="P313" i="10" s="1"/>
  <c r="N140" i="10"/>
  <c r="N141" i="10"/>
  <c r="E271" i="10"/>
  <c r="E9" i="10"/>
  <c r="F44" i="10"/>
  <c r="J94" i="10"/>
  <c r="I108" i="10"/>
  <c r="G139" i="10"/>
  <c r="I178" i="10"/>
  <c r="I206" i="10" s="1"/>
  <c r="N206" i="10" s="1"/>
  <c r="G230" i="10"/>
  <c r="N57" i="10"/>
  <c r="I142" i="10"/>
  <c r="I170" i="10" s="1"/>
  <c r="J143" i="10"/>
  <c r="L203" i="10"/>
  <c r="P266" i="10"/>
  <c r="E272" i="10"/>
  <c r="L166" i="10"/>
  <c r="L209" i="10" s="1"/>
  <c r="K101" i="10"/>
  <c r="I97" i="10"/>
  <c r="N97" i="10" s="1"/>
  <c r="H252" i="10"/>
  <c r="L273" i="10"/>
  <c r="P44" i="10"/>
  <c r="N47" i="10"/>
  <c r="F97" i="10"/>
  <c r="F94" i="10" s="1"/>
  <c r="L115" i="10"/>
  <c r="I129" i="10"/>
  <c r="N129" i="10" s="1"/>
  <c r="L135" i="10"/>
  <c r="L129" i="10" s="1"/>
  <c r="F137" i="10"/>
  <c r="F165" i="10" s="1"/>
  <c r="K139" i="10"/>
  <c r="K136" i="10" s="1"/>
  <c r="L146" i="10"/>
  <c r="L139" i="10" s="1"/>
  <c r="E173" i="10"/>
  <c r="E216" i="10"/>
  <c r="E217" i="10"/>
  <c r="E218" i="10"/>
  <c r="E219" i="10"/>
  <c r="E220" i="10"/>
  <c r="E221" i="10"/>
  <c r="E260" i="10"/>
  <c r="E270" i="10"/>
  <c r="L37" i="10"/>
  <c r="N80" i="10"/>
  <c r="G97" i="10"/>
  <c r="G94" i="10" s="1"/>
  <c r="N98" i="10"/>
  <c r="I169" i="10"/>
  <c r="N169" i="10" s="1"/>
  <c r="N108" i="10"/>
  <c r="I138" i="10"/>
  <c r="I166" i="10" s="1"/>
  <c r="I209" i="10" s="1"/>
  <c r="P143" i="10"/>
  <c r="N203" i="10"/>
  <c r="N253" i="10"/>
  <c r="N256" i="10"/>
  <c r="N271" i="10"/>
  <c r="N272" i="10"/>
  <c r="E276" i="10"/>
  <c r="L104" i="10"/>
  <c r="E104" i="10" s="1"/>
  <c r="F115" i="10"/>
  <c r="E140" i="10"/>
  <c r="N201" i="10"/>
  <c r="N202" i="10"/>
  <c r="I186" i="10"/>
  <c r="N186" i="10" s="1"/>
  <c r="J252" i="10"/>
  <c r="E267" i="10"/>
  <c r="N269" i="10"/>
  <c r="E277" i="10"/>
  <c r="J273" i="10"/>
  <c r="P252" i="10"/>
  <c r="J139" i="10"/>
  <c r="F37" i="10"/>
  <c r="P211" i="10"/>
  <c r="P241" i="10" s="1"/>
  <c r="P304" i="10" s="1"/>
  <c r="K168" i="10"/>
  <c r="K211" i="10" s="1"/>
  <c r="K169" i="10"/>
  <c r="K212" i="10" s="1"/>
  <c r="P170" i="10"/>
  <c r="G115" i="10"/>
  <c r="N216" i="10"/>
  <c r="N217" i="10"/>
  <c r="N218" i="10"/>
  <c r="N219" i="10"/>
  <c r="N220" i="10"/>
  <c r="N221" i="10"/>
  <c r="J266" i="10"/>
  <c r="K273" i="10"/>
  <c r="H44" i="10"/>
  <c r="P94" i="10"/>
  <c r="N30" i="10"/>
  <c r="J37" i="10"/>
  <c r="I44" i="10"/>
  <c r="N54" i="10"/>
  <c r="J166" i="10"/>
  <c r="J209" i="10" s="1"/>
  <c r="P138" i="10"/>
  <c r="P166" i="10" s="1"/>
  <c r="H143" i="10"/>
  <c r="E157" i="10"/>
  <c r="E176" i="10"/>
  <c r="N277" i="10"/>
  <c r="N278" i="10"/>
  <c r="N279" i="10"/>
  <c r="K258" i="10"/>
  <c r="K252" i="10" s="1"/>
  <c r="K186" i="10"/>
  <c r="L192" i="10" s="1"/>
  <c r="N58" i="10"/>
  <c r="E145" i="10"/>
  <c r="G172" i="10"/>
  <c r="N204" i="10"/>
  <c r="N205" i="10"/>
  <c r="E30" i="10"/>
  <c r="E54" i="10"/>
  <c r="E96" i="10"/>
  <c r="E98" i="10"/>
  <c r="F169" i="10"/>
  <c r="F212" i="10" s="1"/>
  <c r="F170" i="10"/>
  <c r="H101" i="10"/>
  <c r="N114" i="10"/>
  <c r="E122" i="10"/>
  <c r="J172" i="10"/>
  <c r="K175" i="10"/>
  <c r="K203" i="10" s="1"/>
  <c r="E268" i="10"/>
  <c r="I266" i="10"/>
  <c r="N266" i="10" s="1"/>
  <c r="E275" i="10"/>
  <c r="E61" i="10"/>
  <c r="E80" i="10"/>
  <c r="N93" i="10"/>
  <c r="G166" i="10"/>
  <c r="N153" i="10"/>
  <c r="P172" i="10"/>
  <c r="E182" i="10"/>
  <c r="P179" i="10"/>
  <c r="N179" i="10" s="1"/>
  <c r="E232" i="10"/>
  <c r="E235" i="10"/>
  <c r="G273" i="10"/>
  <c r="E274" i="10"/>
  <c r="I40" i="10"/>
  <c r="I43" i="10"/>
  <c r="I78" i="10" s="1"/>
  <c r="I51" i="10"/>
  <c r="N51" i="10" s="1"/>
  <c r="N65" i="10"/>
  <c r="E47" i="10"/>
  <c r="E57" i="10"/>
  <c r="H165" i="10"/>
  <c r="H166" i="10"/>
  <c r="H209" i="10" s="1"/>
  <c r="E111" i="10"/>
  <c r="F138" i="10"/>
  <c r="I143" i="10"/>
  <c r="N143" i="10" s="1"/>
  <c r="E174" i="10"/>
  <c r="G179" i="10"/>
  <c r="K230" i="10"/>
  <c r="N231" i="10"/>
  <c r="N232" i="10"/>
  <c r="E261" i="10"/>
  <c r="I273" i="10"/>
  <c r="N274" i="10"/>
  <c r="E41" i="10"/>
  <c r="J168" i="10"/>
  <c r="J169" i="10"/>
  <c r="J212" i="10" s="1"/>
  <c r="J170" i="10"/>
  <c r="J213" i="10" s="1"/>
  <c r="J323" i="10" s="1"/>
  <c r="N104" i="10"/>
  <c r="N115" i="10"/>
  <c r="N137" i="10"/>
  <c r="H139" i="10"/>
  <c r="H136" i="10" s="1"/>
  <c r="E141" i="10"/>
  <c r="N157" i="10"/>
  <c r="J230" i="10"/>
  <c r="K266" i="10"/>
  <c r="E278" i="10"/>
  <c r="E279" i="10"/>
  <c r="G39" i="10"/>
  <c r="E39" i="10" s="1"/>
  <c r="F87" i="10"/>
  <c r="K166" i="10"/>
  <c r="K209" i="10" s="1"/>
  <c r="I139" i="10"/>
  <c r="L193" i="10"/>
  <c r="E193" i="10" s="1"/>
  <c r="E234" i="10"/>
  <c r="N260" i="10"/>
  <c r="N261" i="10"/>
  <c r="H40" i="10"/>
  <c r="E46" i="10"/>
  <c r="G87" i="10"/>
  <c r="L165" i="10"/>
  <c r="F101" i="10"/>
  <c r="I150" i="10"/>
  <c r="N150" i="10" s="1"/>
  <c r="F172" i="10"/>
  <c r="K185" i="10"/>
  <c r="L230" i="10"/>
  <c r="E264" i="10"/>
  <c r="E23" i="10"/>
  <c r="E16" i="10"/>
  <c r="F215" i="10"/>
  <c r="J208" i="10"/>
  <c r="J72" i="10"/>
  <c r="K87" i="10"/>
  <c r="L93" i="10" s="1"/>
  <c r="E93" i="10" s="1"/>
  <c r="E77" i="10"/>
  <c r="L72" i="10"/>
  <c r="E73" i="10"/>
  <c r="K72" i="10"/>
  <c r="K108" i="10"/>
  <c r="L114" i="10" s="1"/>
  <c r="L108" i="10" s="1"/>
  <c r="K100" i="10"/>
  <c r="K94" i="10" s="1"/>
  <c r="N73" i="10"/>
  <c r="N74" i="10"/>
  <c r="N76" i="10"/>
  <c r="N77" i="10"/>
  <c r="E202" i="10"/>
  <c r="E38" i="10"/>
  <c r="N38" i="10"/>
  <c r="E42" i="10"/>
  <c r="N42" i="10"/>
  <c r="N50" i="10"/>
  <c r="I262" i="10"/>
  <c r="I233" i="10"/>
  <c r="I265" i="10"/>
  <c r="I236" i="10"/>
  <c r="E236" i="10" s="1"/>
  <c r="F58" i="10"/>
  <c r="E58" i="10" s="1"/>
  <c r="F74" i="10"/>
  <c r="F76" i="10"/>
  <c r="F78" i="10"/>
  <c r="N90" i="10"/>
  <c r="E95" i="10"/>
  <c r="N95" i="10"/>
  <c r="E99" i="10"/>
  <c r="N99" i="10"/>
  <c r="F143" i="10"/>
  <c r="N149" i="10"/>
  <c r="I168" i="10"/>
  <c r="N168" i="10" s="1"/>
  <c r="H201" i="10"/>
  <c r="H200" i="10" s="1"/>
  <c r="H172" i="10"/>
  <c r="L201" i="10"/>
  <c r="E204" i="10"/>
  <c r="G201" i="10"/>
  <c r="G200" i="10" s="1"/>
  <c r="F168" i="10"/>
  <c r="N173" i="10"/>
  <c r="N175" i="10"/>
  <c r="E177" i="10"/>
  <c r="N177" i="10"/>
  <c r="K201" i="10"/>
  <c r="N39" i="10"/>
  <c r="N41" i="10"/>
  <c r="F262" i="10"/>
  <c r="F259" i="10" s="1"/>
  <c r="F233" i="10"/>
  <c r="P262" i="10"/>
  <c r="P328" i="10" s="1"/>
  <c r="P233" i="10"/>
  <c r="P265" i="10"/>
  <c r="P236" i="10"/>
  <c r="E90" i="10"/>
  <c r="N96" i="10"/>
  <c r="E118" i="10"/>
  <c r="E132" i="10"/>
  <c r="F200" i="10"/>
  <c r="P200" i="10"/>
  <c r="E205" i="10"/>
  <c r="I200" i="10"/>
  <c r="H262" i="10"/>
  <c r="H259" i="10" s="1"/>
  <c r="H233" i="10"/>
  <c r="H230" i="10" s="1"/>
  <c r="E269" i="10"/>
  <c r="F266" i="10"/>
  <c r="G136" i="10"/>
  <c r="N174" i="10"/>
  <c r="N176" i="10"/>
  <c r="L255" i="10"/>
  <c r="I255" i="10"/>
  <c r="I258" i="10"/>
  <c r="I215" i="10"/>
  <c r="N215" i="10" s="1"/>
  <c r="E231" i="10"/>
  <c r="E256" i="10"/>
  <c r="E257" i="10"/>
  <c r="G259" i="10"/>
  <c r="N270" i="10"/>
  <c r="N276" i="10"/>
  <c r="E253" i="10"/>
  <c r="E254" i="10"/>
  <c r="J328" i="10"/>
  <c r="N275" i="10"/>
  <c r="E327" i="10"/>
  <c r="J259" i="10"/>
  <c r="P226" i="10" l="1"/>
  <c r="P294" i="10" s="1"/>
  <c r="N142" i="10"/>
  <c r="F136" i="10"/>
  <c r="H228" i="10"/>
  <c r="H296" i="10" s="1"/>
  <c r="H323" i="10"/>
  <c r="N78" i="10"/>
  <c r="N165" i="10"/>
  <c r="P72" i="10"/>
  <c r="H321" i="10"/>
  <c r="H226" i="10"/>
  <c r="H294" i="10" s="1"/>
  <c r="E175" i="10"/>
  <c r="I208" i="10"/>
  <c r="I246" i="10" s="1"/>
  <c r="I309" i="10" s="1"/>
  <c r="H250" i="10"/>
  <c r="H313" i="10" s="1"/>
  <c r="N40" i="10"/>
  <c r="P213" i="10"/>
  <c r="P251" i="10" s="1"/>
  <c r="P314" i="10" s="1"/>
  <c r="K208" i="10"/>
  <c r="K318" i="10" s="1"/>
  <c r="L97" i="10"/>
  <c r="N273" i="10"/>
  <c r="H322" i="10"/>
  <c r="L208" i="10"/>
  <c r="L246" i="10" s="1"/>
  <c r="F166" i="10"/>
  <c r="P249" i="10"/>
  <c r="P312" i="10" s="1"/>
  <c r="H227" i="10"/>
  <c r="H295" i="10" s="1"/>
  <c r="L321" i="10"/>
  <c r="E129" i="10"/>
  <c r="L150" i="10"/>
  <c r="E150" i="10" s="1"/>
  <c r="P322" i="10"/>
  <c r="P321" i="10"/>
  <c r="E203" i="10"/>
  <c r="J167" i="10"/>
  <c r="J210" i="10" s="1"/>
  <c r="J240" i="10" s="1"/>
  <c r="J303" i="10" s="1"/>
  <c r="L333" i="10"/>
  <c r="L224" i="10"/>
  <c r="L292" i="10" s="1"/>
  <c r="L242" i="10"/>
  <c r="L305" i="10" s="1"/>
  <c r="L227" i="10"/>
  <c r="L295" i="10" s="1"/>
  <c r="L250" i="10"/>
  <c r="L313" i="10" s="1"/>
  <c r="L322" i="10"/>
  <c r="H241" i="10"/>
  <c r="H304" i="10" s="1"/>
  <c r="H249" i="10"/>
  <c r="H312" i="10" s="1"/>
  <c r="F167" i="10"/>
  <c r="F210" i="10" s="1"/>
  <c r="F320" i="10" s="1"/>
  <c r="L226" i="10"/>
  <c r="L294" i="10" s="1"/>
  <c r="G242" i="10"/>
  <c r="G305" i="10" s="1"/>
  <c r="P37" i="10"/>
  <c r="I172" i="10"/>
  <c r="N172" i="10" s="1"/>
  <c r="L241" i="10"/>
  <c r="L304" i="10" s="1"/>
  <c r="G227" i="10"/>
  <c r="G295" i="10" s="1"/>
  <c r="E43" i="10"/>
  <c r="N43" i="10"/>
  <c r="E115" i="10"/>
  <c r="I213" i="10"/>
  <c r="L107" i="10"/>
  <c r="L101" i="10" s="1"/>
  <c r="E101" i="10" s="1"/>
  <c r="G226" i="10"/>
  <c r="G294" i="10" s="1"/>
  <c r="G241" i="10"/>
  <c r="G304" i="10" s="1"/>
  <c r="G321" i="10"/>
  <c r="H251" i="10"/>
  <c r="H314" i="10" s="1"/>
  <c r="H243" i="10"/>
  <c r="H306" i="10" s="1"/>
  <c r="E135" i="10"/>
  <c r="E168" i="10"/>
  <c r="G228" i="10"/>
  <c r="G296" i="10" s="1"/>
  <c r="G243" i="10"/>
  <c r="G306" i="10" s="1"/>
  <c r="G323" i="10"/>
  <c r="G251" i="10"/>
  <c r="G314" i="10" s="1"/>
  <c r="E40" i="10"/>
  <c r="G249" i="10"/>
  <c r="G312" i="10" s="1"/>
  <c r="E44" i="10"/>
  <c r="P242" i="10"/>
  <c r="P305" i="10" s="1"/>
  <c r="P210" i="10"/>
  <c r="P320" i="10" s="1"/>
  <c r="L167" i="10"/>
  <c r="L210" i="10" s="1"/>
  <c r="L320" i="10" s="1"/>
  <c r="P227" i="10"/>
  <c r="P295" i="10" s="1"/>
  <c r="G250" i="10"/>
  <c r="G313" i="10" s="1"/>
  <c r="E97" i="10"/>
  <c r="I94" i="10"/>
  <c r="N94" i="10" s="1"/>
  <c r="E138" i="10"/>
  <c r="E273" i="10"/>
  <c r="N178" i="10"/>
  <c r="E146" i="10"/>
  <c r="E137" i="10"/>
  <c r="N44" i="10"/>
  <c r="J248" i="10"/>
  <c r="J311" i="10" s="1"/>
  <c r="J225" i="10"/>
  <c r="J293" i="10" s="1"/>
  <c r="K227" i="10"/>
  <c r="K295" i="10" s="1"/>
  <c r="K322" i="10"/>
  <c r="K250" i="10"/>
  <c r="K313" i="10" s="1"/>
  <c r="K242" i="10"/>
  <c r="K305" i="10" s="1"/>
  <c r="J319" i="10"/>
  <c r="J333" i="10"/>
  <c r="J247" i="10"/>
  <c r="J310" i="10" s="1"/>
  <c r="J239" i="10"/>
  <c r="J302" i="10" s="1"/>
  <c r="J224" i="10"/>
  <c r="J292" i="10" s="1"/>
  <c r="K321" i="10"/>
  <c r="K249" i="10"/>
  <c r="K312" i="10" s="1"/>
  <c r="K241" i="10"/>
  <c r="K304" i="10" s="1"/>
  <c r="K226" i="10"/>
  <c r="K294" i="10" s="1"/>
  <c r="H333" i="10"/>
  <c r="H319" i="10"/>
  <c r="H239" i="10"/>
  <c r="H302" i="10" s="1"/>
  <c r="H247" i="10"/>
  <c r="H310" i="10" s="1"/>
  <c r="H224" i="10"/>
  <c r="H292" i="10" s="1"/>
  <c r="P209" i="10"/>
  <c r="N209" i="10" s="1"/>
  <c r="P164" i="10"/>
  <c r="E165" i="10"/>
  <c r="F208" i="10"/>
  <c r="F332" i="10" s="1"/>
  <c r="L247" i="10"/>
  <c r="L310" i="10" s="1"/>
  <c r="J136" i="10"/>
  <c r="K167" i="10"/>
  <c r="K210" i="10" s="1"/>
  <c r="K334" i="10" s="1"/>
  <c r="I212" i="10"/>
  <c r="I322" i="10" s="1"/>
  <c r="K179" i="10"/>
  <c r="L185" i="10" s="1"/>
  <c r="L179" i="10" s="1"/>
  <c r="E179" i="10" s="1"/>
  <c r="L239" i="10"/>
  <c r="L302" i="10" s="1"/>
  <c r="N166" i="10"/>
  <c r="P136" i="10"/>
  <c r="E107" i="10"/>
  <c r="K178" i="10"/>
  <c r="K172" i="10" s="1"/>
  <c r="L319" i="10"/>
  <c r="N170" i="10"/>
  <c r="J334" i="10"/>
  <c r="P230" i="10"/>
  <c r="G167" i="10"/>
  <c r="N138" i="10"/>
  <c r="E166" i="10"/>
  <c r="E169" i="10"/>
  <c r="J164" i="10"/>
  <c r="L149" i="10"/>
  <c r="J227" i="10"/>
  <c r="J295" i="10" s="1"/>
  <c r="J250" i="10"/>
  <c r="J313" i="10" s="1"/>
  <c r="J242" i="10"/>
  <c r="J305" i="10" s="1"/>
  <c r="J322" i="10"/>
  <c r="K333" i="10"/>
  <c r="K239" i="10"/>
  <c r="K302" i="10" s="1"/>
  <c r="K319" i="10"/>
  <c r="K247" i="10"/>
  <c r="K310" i="10" s="1"/>
  <c r="K224" i="10"/>
  <c r="K292" i="10" s="1"/>
  <c r="N139" i="10"/>
  <c r="I136" i="10"/>
  <c r="H75" i="10"/>
  <c r="H37" i="10"/>
  <c r="E139" i="10"/>
  <c r="H167" i="10"/>
  <c r="J243" i="10"/>
  <c r="J306" i="10" s="1"/>
  <c r="I75" i="10"/>
  <c r="I37" i="10"/>
  <c r="J211" i="10"/>
  <c r="J207" i="10" s="1"/>
  <c r="J228" i="10"/>
  <c r="J296" i="10" s="1"/>
  <c r="I167" i="10"/>
  <c r="N265" i="10"/>
  <c r="J251" i="10"/>
  <c r="J314" i="10" s="1"/>
  <c r="E266" i="10"/>
  <c r="L100" i="10"/>
  <c r="L94" i="10" s="1"/>
  <c r="E94" i="10" s="1"/>
  <c r="E51" i="10"/>
  <c r="G74" i="10"/>
  <c r="G37" i="10"/>
  <c r="E215" i="10"/>
  <c r="F211" i="10"/>
  <c r="E76" i="10"/>
  <c r="I238" i="10"/>
  <c r="L332" i="10"/>
  <c r="F334" i="10"/>
  <c r="L87" i="10"/>
  <c r="E87" i="10" s="1"/>
  <c r="N233" i="10"/>
  <c r="I230" i="10"/>
  <c r="P332" i="10"/>
  <c r="P318" i="10"/>
  <c r="P238" i="10"/>
  <c r="P301" i="10" s="1"/>
  <c r="P246" i="10"/>
  <c r="P309" i="10" s="1"/>
  <c r="P223" i="10"/>
  <c r="P291" i="10" s="1"/>
  <c r="P259" i="10"/>
  <c r="N258" i="10"/>
  <c r="E262" i="10"/>
  <c r="K170" i="10"/>
  <c r="G208" i="10"/>
  <c r="L258" i="10"/>
  <c r="E258" i="10" s="1"/>
  <c r="E192" i="10"/>
  <c r="E265" i="10"/>
  <c r="E233" i="10"/>
  <c r="F209" i="10"/>
  <c r="B347" i="10"/>
  <c r="I243" i="10"/>
  <c r="I323" i="10"/>
  <c r="I251" i="10"/>
  <c r="I228" i="10"/>
  <c r="I296" i="10" s="1"/>
  <c r="F72" i="10"/>
  <c r="F230" i="10"/>
  <c r="L186" i="10"/>
  <c r="E186" i="10" s="1"/>
  <c r="I259" i="10"/>
  <c r="N262" i="10"/>
  <c r="I250" i="10"/>
  <c r="N250" i="10" s="1"/>
  <c r="E114" i="10"/>
  <c r="I328" i="10"/>
  <c r="N255" i="10"/>
  <c r="E255" i="10"/>
  <c r="I252" i="10"/>
  <c r="N200" i="10"/>
  <c r="E201" i="10"/>
  <c r="F213" i="10"/>
  <c r="E78" i="10"/>
  <c r="N236" i="10"/>
  <c r="F164" i="10"/>
  <c r="P323" i="10"/>
  <c r="I211" i="10"/>
  <c r="B345" i="10"/>
  <c r="I333" i="10"/>
  <c r="I247" i="10"/>
  <c r="I310" i="10" s="1"/>
  <c r="I319" i="10"/>
  <c r="I239" i="10"/>
  <c r="I224" i="10"/>
  <c r="E108" i="10"/>
  <c r="H208" i="10"/>
  <c r="F322" i="10"/>
  <c r="F242" i="10"/>
  <c r="F250" i="10"/>
  <c r="F227" i="10"/>
  <c r="J332" i="10"/>
  <c r="J318" i="10"/>
  <c r="J238" i="10"/>
  <c r="J223" i="10"/>
  <c r="J246" i="10"/>
  <c r="K238" i="10" l="1"/>
  <c r="K301" i="10" s="1"/>
  <c r="B344" i="10"/>
  <c r="J320" i="10"/>
  <c r="L225" i="10"/>
  <c r="L293" i="10" s="1"/>
  <c r="N37" i="10"/>
  <c r="P228" i="10"/>
  <c r="P296" i="10" s="1"/>
  <c r="N296" i="10" s="1"/>
  <c r="I332" i="10"/>
  <c r="P243" i="10"/>
  <c r="P306" i="10" s="1"/>
  <c r="N259" i="10"/>
  <c r="N213" i="10"/>
  <c r="F248" i="10"/>
  <c r="F311" i="10" s="1"/>
  <c r="L238" i="10"/>
  <c r="L301" i="10" s="1"/>
  <c r="K223" i="10"/>
  <c r="K332" i="10"/>
  <c r="I318" i="10"/>
  <c r="L223" i="10"/>
  <c r="L318" i="10"/>
  <c r="K246" i="10"/>
  <c r="K309" i="10" s="1"/>
  <c r="N208" i="10"/>
  <c r="L248" i="10"/>
  <c r="L311" i="10" s="1"/>
  <c r="N230" i="10"/>
  <c r="F240" i="10"/>
  <c r="F303" i="10" s="1"/>
  <c r="I223" i="10"/>
  <c r="I291" i="10" s="1"/>
  <c r="N212" i="10"/>
  <c r="F225" i="10"/>
  <c r="F293" i="10" s="1"/>
  <c r="L240" i="10"/>
  <c r="L303" i="10" s="1"/>
  <c r="N322" i="10"/>
  <c r="L334" i="10"/>
  <c r="E212" i="10"/>
  <c r="I227" i="10"/>
  <c r="I295" i="10" s="1"/>
  <c r="N295" i="10" s="1"/>
  <c r="I242" i="10"/>
  <c r="N242" i="10" s="1"/>
  <c r="P248" i="10"/>
  <c r="P311" i="10" s="1"/>
  <c r="F223" i="10"/>
  <c r="F291" i="10" s="1"/>
  <c r="F246" i="10"/>
  <c r="F309" i="10" s="1"/>
  <c r="N136" i="10"/>
  <c r="F238" i="10"/>
  <c r="F301" i="10" s="1"/>
  <c r="F318" i="10"/>
  <c r="P225" i="10"/>
  <c r="P293" i="10" s="1"/>
  <c r="E242" i="10"/>
  <c r="E208" i="10"/>
  <c r="E332" i="10" s="1"/>
  <c r="K240" i="10"/>
  <c r="K303" i="10" s="1"/>
  <c r="P240" i="10"/>
  <c r="P303" i="10" s="1"/>
  <c r="P334" i="10"/>
  <c r="P207" i="10"/>
  <c r="P317" i="10" s="1"/>
  <c r="K225" i="10"/>
  <c r="K293" i="10" s="1"/>
  <c r="K248" i="10"/>
  <c r="K311" i="10" s="1"/>
  <c r="K320" i="10"/>
  <c r="L178" i="10"/>
  <c r="E178" i="10" s="1"/>
  <c r="E100" i="10"/>
  <c r="E185" i="10"/>
  <c r="G210" i="10"/>
  <c r="G164" i="10"/>
  <c r="L252" i="10"/>
  <c r="E252" i="10" s="1"/>
  <c r="L143" i="10"/>
  <c r="E143" i="10" s="1"/>
  <c r="L142" i="10"/>
  <c r="E149" i="10"/>
  <c r="F207" i="10"/>
  <c r="F317" i="10" s="1"/>
  <c r="E250" i="10"/>
  <c r="K206" i="10"/>
  <c r="K213" i="10" s="1"/>
  <c r="P224" i="10"/>
  <c r="P292" i="10" s="1"/>
  <c r="P319" i="10"/>
  <c r="N319" i="10" s="1"/>
  <c r="P333" i="10"/>
  <c r="N333" i="10" s="1"/>
  <c r="P247" i="10"/>
  <c r="P310" i="10" s="1"/>
  <c r="N310" i="10" s="1"/>
  <c r="P239" i="10"/>
  <c r="P302" i="10" s="1"/>
  <c r="J321" i="10"/>
  <c r="J241" i="10"/>
  <c r="J237" i="10" s="1"/>
  <c r="J300" i="10" s="1"/>
  <c r="J249" i="10"/>
  <c r="J312" i="10" s="1"/>
  <c r="J226" i="10"/>
  <c r="J294" i="10" s="1"/>
  <c r="N75" i="10"/>
  <c r="I72" i="10"/>
  <c r="N72" i="10" s="1"/>
  <c r="I210" i="10"/>
  <c r="I207" i="10" s="1"/>
  <c r="G209" i="10"/>
  <c r="E209" i="10" s="1"/>
  <c r="G72" i="10"/>
  <c r="H164" i="10"/>
  <c r="E167" i="10"/>
  <c r="E75" i="10"/>
  <c r="H72" i="10"/>
  <c r="H210" i="10"/>
  <c r="H207" i="10" s="1"/>
  <c r="E230" i="10"/>
  <c r="E74" i="10"/>
  <c r="E37" i="10"/>
  <c r="N167" i="10"/>
  <c r="R167" i="10"/>
  <c r="R169" i="10" s="1"/>
  <c r="R170" i="10" s="1"/>
  <c r="I164" i="10"/>
  <c r="N164" i="10" s="1"/>
  <c r="I313" i="10"/>
  <c r="N313" i="10" s="1"/>
  <c r="N291" i="10"/>
  <c r="F313" i="10"/>
  <c r="I321" i="10"/>
  <c r="N321" i="10" s="1"/>
  <c r="I249" i="10"/>
  <c r="N249" i="10" s="1"/>
  <c r="I226" i="10"/>
  <c r="N226" i="10" s="1"/>
  <c r="I241" i="10"/>
  <c r="N241" i="10" s="1"/>
  <c r="N211" i="10"/>
  <c r="E328" i="10"/>
  <c r="N328" i="10"/>
  <c r="G332" i="10"/>
  <c r="G318" i="10"/>
  <c r="G246" i="10"/>
  <c r="G223" i="10"/>
  <c r="G238" i="10"/>
  <c r="N238" i="10"/>
  <c r="N332" i="10"/>
  <c r="J301" i="10"/>
  <c r="F305" i="10"/>
  <c r="E318" i="10"/>
  <c r="H318" i="10"/>
  <c r="H332" i="10"/>
  <c r="H246" i="10"/>
  <c r="H238" i="10"/>
  <c r="H301" i="10" s="1"/>
  <c r="H223" i="10"/>
  <c r="F323" i="10"/>
  <c r="F251" i="10"/>
  <c r="F314" i="10" s="1"/>
  <c r="F228" i="10"/>
  <c r="F243" i="10"/>
  <c r="F306" i="10" s="1"/>
  <c r="N252" i="10"/>
  <c r="N243" i="10"/>
  <c r="K164" i="10"/>
  <c r="N309" i="10"/>
  <c r="N251" i="10"/>
  <c r="I314" i="10"/>
  <c r="N314" i="10" s="1"/>
  <c r="F319" i="10"/>
  <c r="F333" i="10"/>
  <c r="F239" i="10"/>
  <c r="F224" i="10"/>
  <c r="F247" i="10"/>
  <c r="I334" i="10"/>
  <c r="L291" i="10"/>
  <c r="N223" i="10"/>
  <c r="N318" i="10"/>
  <c r="I301" i="10"/>
  <c r="N301" i="10" s="1"/>
  <c r="F321" i="10"/>
  <c r="F249" i="10"/>
  <c r="E211" i="10"/>
  <c r="F241" i="10"/>
  <c r="F226" i="10"/>
  <c r="J291" i="10"/>
  <c r="E322" i="10"/>
  <c r="J317" i="10"/>
  <c r="J309" i="10"/>
  <c r="F295" i="10"/>
  <c r="I292" i="10"/>
  <c r="I302" i="10"/>
  <c r="N323" i="10"/>
  <c r="I306" i="10"/>
  <c r="E259" i="10"/>
  <c r="L309" i="10"/>
  <c r="K291" i="10"/>
  <c r="N246" i="10"/>
  <c r="N306" i="10" l="1"/>
  <c r="L172" i="10"/>
  <c r="E172" i="10" s="1"/>
  <c r="N228" i="10"/>
  <c r="L206" i="10"/>
  <c r="L200" i="10" s="1"/>
  <c r="E227" i="10"/>
  <c r="N227" i="10"/>
  <c r="E249" i="10"/>
  <c r="E312" i="10" s="1"/>
  <c r="E313" i="10"/>
  <c r="P237" i="10"/>
  <c r="P300" i="10" s="1"/>
  <c r="E295" i="10"/>
  <c r="E305" i="10"/>
  <c r="N302" i="10"/>
  <c r="I305" i="10"/>
  <c r="N305" i="10" s="1"/>
  <c r="N334" i="10"/>
  <c r="N292" i="10"/>
  <c r="E246" i="10"/>
  <c r="E309" i="10" s="1"/>
  <c r="P222" i="10"/>
  <c r="P290" i="10" s="1"/>
  <c r="J304" i="10"/>
  <c r="G207" i="10"/>
  <c r="G317" i="10" s="1"/>
  <c r="E241" i="10"/>
  <c r="E304" i="10" s="1"/>
  <c r="E226" i="10"/>
  <c r="E294" i="10" s="1"/>
  <c r="P245" i="10"/>
  <c r="P308" i="10" s="1"/>
  <c r="E223" i="10"/>
  <c r="E291" i="10" s="1"/>
  <c r="E142" i="10"/>
  <c r="L136" i="10"/>
  <c r="E136" i="10" s="1"/>
  <c r="L170" i="10"/>
  <c r="N247" i="10"/>
  <c r="K200" i="10"/>
  <c r="E200" i="10" s="1"/>
  <c r="E72" i="10"/>
  <c r="N224" i="10"/>
  <c r="N239" i="10"/>
  <c r="F222" i="10"/>
  <c r="F290" i="10" s="1"/>
  <c r="G320" i="10"/>
  <c r="G334" i="10"/>
  <c r="G248" i="10"/>
  <c r="G311" i="10" s="1"/>
  <c r="G225" i="10"/>
  <c r="G293" i="10" s="1"/>
  <c r="G240" i="10"/>
  <c r="G303" i="10" s="1"/>
  <c r="J222" i="10"/>
  <c r="J290" i="10" s="1"/>
  <c r="G224" i="10"/>
  <c r="G292" i="10" s="1"/>
  <c r="G333" i="10"/>
  <c r="G247" i="10"/>
  <c r="G310" i="10" s="1"/>
  <c r="G319" i="10"/>
  <c r="G239" i="10"/>
  <c r="E239" i="10" s="1"/>
  <c r="E302" i="10" s="1"/>
  <c r="B346" i="10"/>
  <c r="I248" i="10"/>
  <c r="I320" i="10"/>
  <c r="N320" i="10" s="1"/>
  <c r="I240" i="10"/>
  <c r="I225" i="10"/>
  <c r="N210" i="10"/>
  <c r="J245" i="10"/>
  <c r="J308" i="10" s="1"/>
  <c r="H248" i="10"/>
  <c r="H225" i="10"/>
  <c r="E210" i="10"/>
  <c r="H240" i="10"/>
  <c r="H320" i="10"/>
  <c r="H334" i="10"/>
  <c r="H291" i="10"/>
  <c r="I304" i="10"/>
  <c r="N304" i="10" s="1"/>
  <c r="H309" i="10"/>
  <c r="I312" i="10"/>
  <c r="N312" i="10" s="1"/>
  <c r="F304" i="10"/>
  <c r="K323" i="10"/>
  <c r="K251" i="10"/>
  <c r="K245" i="10" s="1"/>
  <c r="K243" i="10"/>
  <c r="K237" i="10" s="1"/>
  <c r="K228" i="10"/>
  <c r="K222" i="10" s="1"/>
  <c r="K207" i="10"/>
  <c r="E238" i="10"/>
  <c r="E301" i="10" s="1"/>
  <c r="F292" i="10"/>
  <c r="I317" i="10"/>
  <c r="N317" i="10" s="1"/>
  <c r="N207" i="10"/>
  <c r="I294" i="10"/>
  <c r="N294" i="10" s="1"/>
  <c r="E206" i="10"/>
  <c r="F245" i="10"/>
  <c r="F294" i="10"/>
  <c r="F310" i="10"/>
  <c r="H317" i="10"/>
  <c r="G309" i="10"/>
  <c r="E321" i="10"/>
  <c r="F312" i="10"/>
  <c r="E333" i="10"/>
  <c r="E319" i="10"/>
  <c r="F302" i="10"/>
  <c r="F296" i="10"/>
  <c r="G291" i="10"/>
  <c r="G301" i="10"/>
  <c r="F237" i="10"/>
  <c r="L213" i="10" l="1"/>
  <c r="L164" i="10"/>
  <c r="E164" i="10" s="1"/>
  <c r="E170" i="10"/>
  <c r="E240" i="10"/>
  <c r="E303" i="10" s="1"/>
  <c r="E224" i="10"/>
  <c r="E292" i="10" s="1"/>
  <c r="N225" i="10"/>
  <c r="I293" i="10"/>
  <c r="N293" i="10" s="1"/>
  <c r="I222" i="10"/>
  <c r="H237" i="10"/>
  <c r="H300" i="10" s="1"/>
  <c r="N240" i="10"/>
  <c r="I237" i="10"/>
  <c r="I303" i="10"/>
  <c r="N303" i="10" s="1"/>
  <c r="G302" i="10"/>
  <c r="E247" i="10"/>
  <c r="E310" i="10" s="1"/>
  <c r="E320" i="10"/>
  <c r="G222" i="10"/>
  <c r="G290" i="10" s="1"/>
  <c r="H293" i="10"/>
  <c r="E225" i="10"/>
  <c r="E293" i="10" s="1"/>
  <c r="I311" i="10"/>
  <c r="N311" i="10" s="1"/>
  <c r="I245" i="10"/>
  <c r="R250" i="10"/>
  <c r="N248" i="10"/>
  <c r="G237" i="10"/>
  <c r="G300" i="10" s="1"/>
  <c r="H311" i="10"/>
  <c r="E248" i="10"/>
  <c r="E311" i="10" s="1"/>
  <c r="G245" i="10"/>
  <c r="G308" i="10" s="1"/>
  <c r="H222" i="10"/>
  <c r="H290" i="10" s="1"/>
  <c r="H303" i="10"/>
  <c r="H245" i="10"/>
  <c r="H308" i="10" s="1"/>
  <c r="E334" i="10"/>
  <c r="K314" i="10"/>
  <c r="K296" i="10"/>
  <c r="F308" i="10"/>
  <c r="K306" i="10"/>
  <c r="F300" i="10"/>
  <c r="K300" i="10"/>
  <c r="K308" i="10"/>
  <c r="K317" i="10"/>
  <c r="K290" i="10"/>
  <c r="L251" i="10" l="1"/>
  <c r="L228" i="10"/>
  <c r="L207" i="10"/>
  <c r="L323" i="10"/>
  <c r="E213" i="10"/>
  <c r="L243" i="10"/>
  <c r="I300" i="10"/>
  <c r="N300" i="10" s="1"/>
  <c r="N237" i="10"/>
  <c r="I290" i="10"/>
  <c r="N290" i="10" s="1"/>
  <c r="N222" i="10"/>
  <c r="N245" i="10"/>
  <c r="I308" i="10"/>
  <c r="N308" i="10" s="1"/>
  <c r="E323" i="10" l="1"/>
  <c r="E207" i="10"/>
  <c r="L317" i="10"/>
  <c r="L222" i="10"/>
  <c r="E222" i="10" s="1"/>
  <c r="E228" i="10"/>
  <c r="E296" i="10" s="1"/>
  <c r="L296" i="10"/>
  <c r="L237" i="10"/>
  <c r="E237" i="10" s="1"/>
  <c r="E243" i="10"/>
  <c r="E306" i="10" s="1"/>
  <c r="L306" i="10"/>
  <c r="L245" i="10"/>
  <c r="E245" i="10" s="1"/>
  <c r="E308" i="10" s="1"/>
  <c r="L314" i="10"/>
  <c r="E251" i="10"/>
  <c r="E314" i="10" s="1"/>
  <c r="L300" i="10" l="1"/>
  <c r="L290" i="10"/>
  <c r="L308" i="10"/>
  <c r="E317" i="10"/>
  <c r="E290" i="10"/>
  <c r="E300" i="10"/>
  <c r="D58" i="1" l="1"/>
  <c r="D50" i="1" s="1"/>
  <c r="D57" i="1"/>
  <c r="D49" i="1" s="1"/>
  <c r="D56" i="1"/>
  <c r="D48" i="1" s="1"/>
  <c r="D54" i="1"/>
  <c r="D46" i="1" s="1"/>
  <c r="D53" i="1"/>
  <c r="D45" i="1" s="1"/>
  <c r="R52" i="1"/>
  <c r="H55" i="1" l="1"/>
  <c r="H47" i="1" s="1"/>
  <c r="M52" i="1"/>
  <c r="O52" i="1"/>
  <c r="D55" i="1"/>
  <c r="D47" i="1" s="1"/>
  <c r="D52" i="1" l="1"/>
  <c r="D44" i="1" s="1"/>
  <c r="H52" i="1"/>
  <c r="E327" i="9" l="1"/>
  <c r="E326" i="9"/>
  <c r="L279" i="9"/>
  <c r="K279" i="9"/>
  <c r="J279" i="9"/>
  <c r="I279" i="9"/>
  <c r="H279" i="9"/>
  <c r="G279" i="9"/>
  <c r="F279" i="9"/>
  <c r="L278" i="9"/>
  <c r="K278" i="9"/>
  <c r="J278" i="9"/>
  <c r="I278" i="9"/>
  <c r="H278" i="9"/>
  <c r="G278" i="9"/>
  <c r="F278" i="9"/>
  <c r="L277" i="9"/>
  <c r="K277" i="9"/>
  <c r="J277" i="9"/>
  <c r="I277" i="9"/>
  <c r="H277" i="9"/>
  <c r="G277" i="9"/>
  <c r="F277" i="9"/>
  <c r="L276" i="9"/>
  <c r="K276" i="9"/>
  <c r="J276" i="9"/>
  <c r="I276" i="9"/>
  <c r="H276" i="9"/>
  <c r="G276" i="9"/>
  <c r="F276" i="9"/>
  <c r="L275" i="9"/>
  <c r="K275" i="9"/>
  <c r="J275" i="9"/>
  <c r="I275" i="9"/>
  <c r="H275" i="9"/>
  <c r="G275" i="9"/>
  <c r="F275" i="9"/>
  <c r="L274" i="9"/>
  <c r="K274" i="9"/>
  <c r="J274" i="9"/>
  <c r="I274" i="9"/>
  <c r="H274" i="9"/>
  <c r="G274" i="9"/>
  <c r="F274" i="9"/>
  <c r="L272" i="9"/>
  <c r="K272" i="9"/>
  <c r="J272" i="9"/>
  <c r="I272" i="9"/>
  <c r="H272" i="9"/>
  <c r="G272" i="9"/>
  <c r="F272" i="9"/>
  <c r="L271" i="9"/>
  <c r="K271" i="9"/>
  <c r="J271" i="9"/>
  <c r="I271" i="9"/>
  <c r="H271" i="9"/>
  <c r="G271" i="9"/>
  <c r="F271" i="9"/>
  <c r="L270" i="9"/>
  <c r="K270" i="9"/>
  <c r="J270" i="9"/>
  <c r="I270" i="9"/>
  <c r="H270" i="9"/>
  <c r="G270" i="9"/>
  <c r="F270" i="9"/>
  <c r="K269" i="9"/>
  <c r="J269" i="9"/>
  <c r="I269" i="9"/>
  <c r="L268" i="9"/>
  <c r="K268" i="9"/>
  <c r="J268" i="9"/>
  <c r="I268" i="9"/>
  <c r="H268" i="9"/>
  <c r="G268" i="9"/>
  <c r="F268" i="9"/>
  <c r="L267" i="9"/>
  <c r="K267" i="9"/>
  <c r="J267" i="9"/>
  <c r="I267" i="9"/>
  <c r="H267" i="9"/>
  <c r="G267" i="9"/>
  <c r="F267" i="9"/>
  <c r="L265" i="9"/>
  <c r="K265" i="9"/>
  <c r="J265" i="9"/>
  <c r="H265" i="9"/>
  <c r="G265" i="9"/>
  <c r="F265" i="9"/>
  <c r="L264" i="9"/>
  <c r="K264" i="9"/>
  <c r="J264" i="9"/>
  <c r="I264" i="9"/>
  <c r="H264" i="9"/>
  <c r="G264" i="9"/>
  <c r="F264" i="9"/>
  <c r="L263" i="9"/>
  <c r="K263" i="9"/>
  <c r="J263" i="9"/>
  <c r="I263" i="9"/>
  <c r="H263" i="9"/>
  <c r="G263" i="9"/>
  <c r="F263" i="9"/>
  <c r="L262" i="9"/>
  <c r="K262" i="9"/>
  <c r="J262" i="9"/>
  <c r="G262" i="9"/>
  <c r="L261" i="9"/>
  <c r="K261" i="9"/>
  <c r="J261" i="9"/>
  <c r="I261" i="9"/>
  <c r="H261" i="9"/>
  <c r="G261" i="9"/>
  <c r="F261" i="9"/>
  <c r="L260" i="9"/>
  <c r="K260" i="9"/>
  <c r="J260" i="9"/>
  <c r="I260" i="9"/>
  <c r="H260" i="9"/>
  <c r="G260" i="9"/>
  <c r="F260" i="9"/>
  <c r="I258" i="9"/>
  <c r="H258" i="9"/>
  <c r="L257" i="9"/>
  <c r="K257" i="9"/>
  <c r="J257" i="9"/>
  <c r="I257" i="9"/>
  <c r="H257" i="9"/>
  <c r="L256" i="9"/>
  <c r="K256" i="9"/>
  <c r="J256" i="9"/>
  <c r="I256" i="9"/>
  <c r="H256" i="9"/>
  <c r="K255" i="9"/>
  <c r="J255" i="9"/>
  <c r="I255" i="9"/>
  <c r="H255" i="9"/>
  <c r="L254" i="9"/>
  <c r="K254" i="9"/>
  <c r="J254" i="9"/>
  <c r="I254" i="9"/>
  <c r="H254" i="9"/>
  <c r="L253" i="9"/>
  <c r="K253" i="9"/>
  <c r="J253" i="9"/>
  <c r="I253" i="9"/>
  <c r="H253" i="9"/>
  <c r="G252" i="9"/>
  <c r="F252" i="9"/>
  <c r="L236" i="9"/>
  <c r="K236" i="9"/>
  <c r="J236" i="9"/>
  <c r="H236" i="9"/>
  <c r="G236" i="9"/>
  <c r="F236" i="9"/>
  <c r="L235" i="9"/>
  <c r="K235" i="9"/>
  <c r="J235" i="9"/>
  <c r="I235" i="9"/>
  <c r="H235" i="9"/>
  <c r="G235" i="9"/>
  <c r="F235" i="9"/>
  <c r="L234" i="9"/>
  <c r="K234" i="9"/>
  <c r="J234" i="9"/>
  <c r="I234" i="9"/>
  <c r="H234" i="9"/>
  <c r="G234" i="9"/>
  <c r="F234" i="9"/>
  <c r="L233" i="9"/>
  <c r="K233" i="9"/>
  <c r="J233" i="9"/>
  <c r="G233" i="9"/>
  <c r="L232" i="9"/>
  <c r="K232" i="9"/>
  <c r="J232" i="9"/>
  <c r="I232" i="9"/>
  <c r="H232" i="9"/>
  <c r="G232" i="9"/>
  <c r="F232" i="9"/>
  <c r="L231" i="9"/>
  <c r="K231" i="9"/>
  <c r="J231" i="9"/>
  <c r="I231" i="9"/>
  <c r="H231" i="9"/>
  <c r="G231" i="9"/>
  <c r="F231" i="9"/>
  <c r="L221" i="9"/>
  <c r="K221" i="9"/>
  <c r="J221" i="9"/>
  <c r="I221" i="9"/>
  <c r="H221" i="9"/>
  <c r="G221" i="9"/>
  <c r="F221" i="9"/>
  <c r="L220" i="9"/>
  <c r="K220" i="9"/>
  <c r="J220" i="9"/>
  <c r="I220" i="9"/>
  <c r="H220" i="9"/>
  <c r="G220" i="9"/>
  <c r="F220" i="9"/>
  <c r="L219" i="9"/>
  <c r="K219" i="9"/>
  <c r="J219" i="9"/>
  <c r="I219" i="9"/>
  <c r="H219" i="9"/>
  <c r="G219" i="9"/>
  <c r="F219" i="9"/>
  <c r="L218" i="9"/>
  <c r="K218" i="9"/>
  <c r="J218" i="9"/>
  <c r="I218" i="9"/>
  <c r="H218" i="9"/>
  <c r="G218" i="9"/>
  <c r="F218" i="9"/>
  <c r="L217" i="9"/>
  <c r="K217" i="9"/>
  <c r="J217" i="9"/>
  <c r="I217" i="9"/>
  <c r="H217" i="9"/>
  <c r="G217" i="9"/>
  <c r="F217" i="9"/>
  <c r="L216" i="9"/>
  <c r="K216" i="9"/>
  <c r="J216" i="9"/>
  <c r="I216" i="9"/>
  <c r="H216" i="9"/>
  <c r="G216" i="9"/>
  <c r="F216" i="9"/>
  <c r="E199" i="9"/>
  <c r="E198" i="9"/>
  <c r="E197" i="9"/>
  <c r="L196" i="9"/>
  <c r="E196" i="9" s="1"/>
  <c r="E195" i="9"/>
  <c r="E194" i="9"/>
  <c r="K193" i="9"/>
  <c r="J193" i="9"/>
  <c r="I193" i="9"/>
  <c r="H193" i="9"/>
  <c r="G193" i="9"/>
  <c r="F193" i="9"/>
  <c r="E191" i="9"/>
  <c r="E190" i="9"/>
  <c r="L189" i="9"/>
  <c r="E189" i="9" s="1"/>
  <c r="E188" i="9"/>
  <c r="E187" i="9"/>
  <c r="I186" i="9"/>
  <c r="J192" i="9" s="1"/>
  <c r="J186" i="9" s="1"/>
  <c r="K192" i="9" s="1"/>
  <c r="H186" i="9"/>
  <c r="G186" i="9"/>
  <c r="F186" i="9"/>
  <c r="I185" i="9"/>
  <c r="I178" i="9" s="1"/>
  <c r="I206" i="9" s="1"/>
  <c r="E184" i="9"/>
  <c r="E183" i="9"/>
  <c r="K182" i="9"/>
  <c r="L182" i="9" s="1"/>
  <c r="J182" i="9"/>
  <c r="I182" i="9"/>
  <c r="H182" i="9"/>
  <c r="H179" i="9" s="1"/>
  <c r="G182" i="9"/>
  <c r="G175" i="9" s="1"/>
  <c r="F182" i="9"/>
  <c r="E181" i="9"/>
  <c r="E180" i="9"/>
  <c r="H178" i="9"/>
  <c r="H206" i="9" s="1"/>
  <c r="G178" i="9"/>
  <c r="G206" i="9" s="1"/>
  <c r="F178" i="9"/>
  <c r="F206" i="9" s="1"/>
  <c r="L177" i="9"/>
  <c r="L205" i="9" s="1"/>
  <c r="K177" i="9"/>
  <c r="K205" i="9" s="1"/>
  <c r="J177" i="9"/>
  <c r="J205" i="9" s="1"/>
  <c r="I177" i="9"/>
  <c r="I205" i="9" s="1"/>
  <c r="H177" i="9"/>
  <c r="H205" i="9" s="1"/>
  <c r="G177" i="9"/>
  <c r="G205" i="9" s="1"/>
  <c r="F177" i="9"/>
  <c r="F205" i="9" s="1"/>
  <c r="L176" i="9"/>
  <c r="L204" i="9" s="1"/>
  <c r="K176" i="9"/>
  <c r="K204" i="9" s="1"/>
  <c r="J176" i="9"/>
  <c r="J204" i="9" s="1"/>
  <c r="I176" i="9"/>
  <c r="I204" i="9" s="1"/>
  <c r="H176" i="9"/>
  <c r="H204" i="9" s="1"/>
  <c r="G176" i="9"/>
  <c r="F176" i="9"/>
  <c r="F204" i="9" s="1"/>
  <c r="L174" i="9"/>
  <c r="L202" i="9" s="1"/>
  <c r="K174" i="9"/>
  <c r="K202" i="9" s="1"/>
  <c r="J174" i="9"/>
  <c r="J202" i="9" s="1"/>
  <c r="I174" i="9"/>
  <c r="I202" i="9" s="1"/>
  <c r="H174" i="9"/>
  <c r="H202" i="9" s="1"/>
  <c r="G174" i="9"/>
  <c r="F174" i="9"/>
  <c r="F202" i="9" s="1"/>
  <c r="L173" i="9"/>
  <c r="L201" i="9" s="1"/>
  <c r="K173" i="9"/>
  <c r="K201" i="9" s="1"/>
  <c r="J173" i="9"/>
  <c r="J201" i="9" s="1"/>
  <c r="I173" i="9"/>
  <c r="I201" i="9" s="1"/>
  <c r="H173" i="9"/>
  <c r="H201" i="9" s="1"/>
  <c r="G173" i="9"/>
  <c r="G201" i="9" s="1"/>
  <c r="F173" i="9"/>
  <c r="F201" i="9" s="1"/>
  <c r="E163" i="9"/>
  <c r="E162" i="9"/>
  <c r="E161" i="9"/>
  <c r="E160" i="9"/>
  <c r="E159" i="9"/>
  <c r="E158" i="9"/>
  <c r="L157" i="9"/>
  <c r="K157" i="9"/>
  <c r="J157" i="9"/>
  <c r="I157" i="9"/>
  <c r="H157" i="9"/>
  <c r="G157" i="9"/>
  <c r="F157" i="9"/>
  <c r="E155" i="9"/>
  <c r="E154" i="9"/>
  <c r="L153" i="9"/>
  <c r="E153" i="9" s="1"/>
  <c r="E152" i="9"/>
  <c r="E151" i="9"/>
  <c r="I150" i="9"/>
  <c r="J156" i="9" s="1"/>
  <c r="J150" i="9" s="1"/>
  <c r="K156" i="9" s="1"/>
  <c r="K150" i="9" s="1"/>
  <c r="H150" i="9"/>
  <c r="G150" i="9"/>
  <c r="F150" i="9"/>
  <c r="I149" i="9"/>
  <c r="E148" i="9"/>
  <c r="E147" i="9"/>
  <c r="K146" i="9"/>
  <c r="L146" i="9" s="1"/>
  <c r="J146" i="9"/>
  <c r="J139" i="9" s="1"/>
  <c r="I146" i="9"/>
  <c r="I139" i="9" s="1"/>
  <c r="H146" i="9"/>
  <c r="G146" i="9"/>
  <c r="G139" i="9" s="1"/>
  <c r="F146" i="9"/>
  <c r="K145" i="9"/>
  <c r="K138" i="9" s="1"/>
  <c r="J145" i="9"/>
  <c r="I145" i="9"/>
  <c r="H145" i="9"/>
  <c r="F145" i="9"/>
  <c r="F138" i="9" s="1"/>
  <c r="F144" i="9"/>
  <c r="E144" i="9" s="1"/>
  <c r="G143" i="9"/>
  <c r="I142" i="9"/>
  <c r="H142" i="9"/>
  <c r="G142" i="9"/>
  <c r="F142" i="9"/>
  <c r="L141" i="9"/>
  <c r="K141" i="9"/>
  <c r="J141" i="9"/>
  <c r="I141" i="9"/>
  <c r="H141" i="9"/>
  <c r="G141" i="9"/>
  <c r="F141" i="9"/>
  <c r="L140" i="9"/>
  <c r="K140" i="9"/>
  <c r="J140" i="9"/>
  <c r="I140" i="9"/>
  <c r="H140" i="9"/>
  <c r="G140" i="9"/>
  <c r="F140" i="9"/>
  <c r="F139" i="9"/>
  <c r="L138" i="9"/>
  <c r="H138" i="9"/>
  <c r="G138" i="9"/>
  <c r="L137" i="9"/>
  <c r="K137" i="9"/>
  <c r="J137" i="9"/>
  <c r="I137" i="9"/>
  <c r="H137" i="9"/>
  <c r="G137" i="9"/>
  <c r="E134" i="9"/>
  <c r="E133" i="9"/>
  <c r="L132" i="9"/>
  <c r="E132" i="9" s="1"/>
  <c r="E131" i="9"/>
  <c r="E130" i="9"/>
  <c r="K129" i="9"/>
  <c r="J129" i="9"/>
  <c r="I129" i="9"/>
  <c r="H129" i="9"/>
  <c r="G129" i="9"/>
  <c r="F129" i="9"/>
  <c r="E128" i="9"/>
  <c r="E127" i="9"/>
  <c r="E126" i="9"/>
  <c r="E125" i="9"/>
  <c r="E124" i="9"/>
  <c r="E123" i="9"/>
  <c r="L122" i="9"/>
  <c r="K122" i="9"/>
  <c r="J122" i="9"/>
  <c r="I122" i="9"/>
  <c r="H122" i="9"/>
  <c r="G122" i="9"/>
  <c r="F122" i="9"/>
  <c r="E121" i="9"/>
  <c r="E120" i="9"/>
  <c r="E119" i="9"/>
  <c r="L118" i="9"/>
  <c r="L269" i="9" s="1"/>
  <c r="H118" i="9"/>
  <c r="H269" i="9" s="1"/>
  <c r="G118" i="9"/>
  <c r="G269" i="9" s="1"/>
  <c r="F118" i="9"/>
  <c r="F269" i="9" s="1"/>
  <c r="E117" i="9"/>
  <c r="E116" i="9"/>
  <c r="K115" i="9"/>
  <c r="J115" i="9"/>
  <c r="I115" i="9"/>
  <c r="E113" i="9"/>
  <c r="E112" i="9"/>
  <c r="L111" i="9"/>
  <c r="E111" i="9" s="1"/>
  <c r="E110" i="9"/>
  <c r="E109" i="9"/>
  <c r="I108" i="9"/>
  <c r="J114" i="9" s="1"/>
  <c r="H108" i="9"/>
  <c r="G108" i="9"/>
  <c r="F108" i="9"/>
  <c r="I107" i="9"/>
  <c r="E106" i="9"/>
  <c r="E105" i="9"/>
  <c r="K104" i="9"/>
  <c r="L104" i="9" s="1"/>
  <c r="J104" i="9"/>
  <c r="J97" i="9" s="1"/>
  <c r="I104" i="9"/>
  <c r="I97" i="9" s="1"/>
  <c r="H104" i="9"/>
  <c r="G104" i="9"/>
  <c r="G101" i="9" s="1"/>
  <c r="F104" i="9"/>
  <c r="F101" i="9" s="1"/>
  <c r="E103" i="9"/>
  <c r="E102" i="9"/>
  <c r="H100" i="9"/>
  <c r="G100" i="9"/>
  <c r="F100" i="9"/>
  <c r="L99" i="9"/>
  <c r="K99" i="9"/>
  <c r="J99" i="9"/>
  <c r="I99" i="9"/>
  <c r="H99" i="9"/>
  <c r="G99" i="9"/>
  <c r="F99" i="9"/>
  <c r="L98" i="9"/>
  <c r="K98" i="9"/>
  <c r="J98" i="9"/>
  <c r="I98" i="9"/>
  <c r="H98" i="9"/>
  <c r="G98" i="9"/>
  <c r="F98" i="9"/>
  <c r="L96" i="9"/>
  <c r="K96" i="9"/>
  <c r="J96" i="9"/>
  <c r="I96" i="9"/>
  <c r="H96" i="9"/>
  <c r="G96" i="9"/>
  <c r="F96" i="9"/>
  <c r="L95" i="9"/>
  <c r="K95" i="9"/>
  <c r="K165" i="9" s="1"/>
  <c r="J95" i="9"/>
  <c r="J165" i="9" s="1"/>
  <c r="I95" i="9"/>
  <c r="H95" i="9"/>
  <c r="G95" i="9"/>
  <c r="F95" i="9"/>
  <c r="E92" i="9"/>
  <c r="E91" i="9"/>
  <c r="L90" i="9"/>
  <c r="H90" i="9"/>
  <c r="G90" i="9"/>
  <c r="G87" i="9" s="1"/>
  <c r="F90" i="9"/>
  <c r="F87" i="9" s="1"/>
  <c r="E89" i="9"/>
  <c r="E88" i="9"/>
  <c r="I87" i="9"/>
  <c r="J93" i="9" s="1"/>
  <c r="J87" i="9" s="1"/>
  <c r="K93" i="9" s="1"/>
  <c r="E86" i="9"/>
  <c r="E85" i="9"/>
  <c r="E84" i="9"/>
  <c r="E83" i="9"/>
  <c r="E82" i="9"/>
  <c r="E81" i="9"/>
  <c r="L80" i="9"/>
  <c r="K80" i="9"/>
  <c r="J80" i="9"/>
  <c r="I80" i="9"/>
  <c r="H80" i="9"/>
  <c r="G80" i="9"/>
  <c r="F80" i="9"/>
  <c r="E71" i="9"/>
  <c r="E70" i="9"/>
  <c r="E69" i="9"/>
  <c r="E68" i="9"/>
  <c r="E67" i="9"/>
  <c r="E66" i="9"/>
  <c r="L65" i="9"/>
  <c r="K65" i="9"/>
  <c r="J65" i="9"/>
  <c r="I65" i="9"/>
  <c r="H65" i="9"/>
  <c r="G65" i="9"/>
  <c r="F65" i="9"/>
  <c r="E64" i="9"/>
  <c r="E63" i="9"/>
  <c r="E62" i="9"/>
  <c r="H61" i="9"/>
  <c r="G61" i="9"/>
  <c r="G58" i="9" s="1"/>
  <c r="F61" i="9"/>
  <c r="F60" i="9"/>
  <c r="E60" i="9" s="1"/>
  <c r="E59" i="9"/>
  <c r="L58" i="9"/>
  <c r="K58" i="9"/>
  <c r="J58" i="9"/>
  <c r="I58" i="9"/>
  <c r="I57" i="9"/>
  <c r="E56" i="9"/>
  <c r="E55" i="9"/>
  <c r="I54" i="9"/>
  <c r="H54" i="9"/>
  <c r="H51" i="9" s="1"/>
  <c r="F54" i="9"/>
  <c r="F51" i="9" s="1"/>
  <c r="E53" i="9"/>
  <c r="E52" i="9"/>
  <c r="L51" i="9"/>
  <c r="K51" i="9"/>
  <c r="J51" i="9"/>
  <c r="G51" i="9"/>
  <c r="I50" i="9"/>
  <c r="E50" i="9" s="1"/>
  <c r="E49" i="9"/>
  <c r="E48" i="9"/>
  <c r="I47" i="9"/>
  <c r="H47" i="9"/>
  <c r="E47" i="9" s="1"/>
  <c r="H46" i="9"/>
  <c r="H39" i="9" s="1"/>
  <c r="H74" i="9" s="1"/>
  <c r="G46" i="9"/>
  <c r="F46" i="9"/>
  <c r="F44" i="9" s="1"/>
  <c r="E45" i="9"/>
  <c r="L44" i="9"/>
  <c r="K44" i="9"/>
  <c r="J44" i="9"/>
  <c r="L43" i="9"/>
  <c r="L78" i="9" s="1"/>
  <c r="K43" i="9"/>
  <c r="K78" i="9" s="1"/>
  <c r="J43" i="9"/>
  <c r="J78" i="9" s="1"/>
  <c r="H43" i="9"/>
  <c r="H78" i="9" s="1"/>
  <c r="G43" i="9"/>
  <c r="G78" i="9" s="1"/>
  <c r="F43" i="9"/>
  <c r="F78" i="9" s="1"/>
  <c r="L42" i="9"/>
  <c r="L77" i="9" s="1"/>
  <c r="K42" i="9"/>
  <c r="K77" i="9" s="1"/>
  <c r="J42" i="9"/>
  <c r="J77" i="9" s="1"/>
  <c r="I42" i="9"/>
  <c r="I77" i="9" s="1"/>
  <c r="H42" i="9"/>
  <c r="H77" i="9" s="1"/>
  <c r="G42" i="9"/>
  <c r="G77" i="9" s="1"/>
  <c r="F42" i="9"/>
  <c r="F77" i="9" s="1"/>
  <c r="L41" i="9"/>
  <c r="L76" i="9" s="1"/>
  <c r="K41" i="9"/>
  <c r="K76" i="9" s="1"/>
  <c r="J41" i="9"/>
  <c r="J76" i="9" s="1"/>
  <c r="I41" i="9"/>
  <c r="I76" i="9" s="1"/>
  <c r="H41" i="9"/>
  <c r="H76" i="9" s="1"/>
  <c r="G41" i="9"/>
  <c r="G76" i="9" s="1"/>
  <c r="F41" i="9"/>
  <c r="F76" i="9" s="1"/>
  <c r="L40" i="9"/>
  <c r="L75" i="9" s="1"/>
  <c r="K40" i="9"/>
  <c r="K75" i="9" s="1"/>
  <c r="J40" i="9"/>
  <c r="J75" i="9" s="1"/>
  <c r="G40" i="9"/>
  <c r="L39" i="9"/>
  <c r="L74" i="9" s="1"/>
  <c r="K39" i="9"/>
  <c r="K74" i="9" s="1"/>
  <c r="J39" i="9"/>
  <c r="J74" i="9" s="1"/>
  <c r="I39" i="9"/>
  <c r="I74" i="9" s="1"/>
  <c r="L38" i="9"/>
  <c r="L73" i="9" s="1"/>
  <c r="K38" i="9"/>
  <c r="K73" i="9" s="1"/>
  <c r="J38" i="9"/>
  <c r="J73" i="9" s="1"/>
  <c r="I38" i="9"/>
  <c r="I73" i="9" s="1"/>
  <c r="H38" i="9"/>
  <c r="H73" i="9" s="1"/>
  <c r="G38" i="9"/>
  <c r="G73" i="9" s="1"/>
  <c r="F38" i="9"/>
  <c r="F73" i="9" s="1"/>
  <c r="E36" i="9"/>
  <c r="E35" i="9"/>
  <c r="E34" i="9"/>
  <c r="E33" i="9"/>
  <c r="E32" i="9"/>
  <c r="E31" i="9"/>
  <c r="L30" i="9"/>
  <c r="K30" i="9"/>
  <c r="J30" i="9"/>
  <c r="I30" i="9"/>
  <c r="H30" i="9"/>
  <c r="G30" i="9"/>
  <c r="F30" i="9"/>
  <c r="E29" i="9"/>
  <c r="E28" i="9"/>
  <c r="E27" i="9"/>
  <c r="E26" i="9"/>
  <c r="E25" i="9"/>
  <c r="E24" i="9"/>
  <c r="L23" i="9"/>
  <c r="K23" i="9"/>
  <c r="J23" i="9"/>
  <c r="I23" i="9"/>
  <c r="H23" i="9"/>
  <c r="G23" i="9"/>
  <c r="F23" i="9"/>
  <c r="E22" i="9"/>
  <c r="E21" i="9"/>
  <c r="E20" i="9"/>
  <c r="E19" i="9"/>
  <c r="E18" i="9"/>
  <c r="E17" i="9"/>
  <c r="L16" i="9"/>
  <c r="K16" i="9"/>
  <c r="J16" i="9"/>
  <c r="I16" i="9"/>
  <c r="H16" i="9"/>
  <c r="G16" i="9"/>
  <c r="F16" i="9"/>
  <c r="E15" i="9"/>
  <c r="E14" i="9"/>
  <c r="E13" i="9"/>
  <c r="E12" i="9"/>
  <c r="E11" i="9"/>
  <c r="E10" i="9"/>
  <c r="L9" i="9"/>
  <c r="K9" i="9"/>
  <c r="J9" i="9"/>
  <c r="I9" i="9"/>
  <c r="H9" i="9"/>
  <c r="G9" i="9"/>
  <c r="F9" i="9"/>
  <c r="G168" i="9" l="1"/>
  <c r="H169" i="9"/>
  <c r="I165" i="9"/>
  <c r="H165" i="9"/>
  <c r="G166" i="9"/>
  <c r="H175" i="9"/>
  <c r="H203" i="9" s="1"/>
  <c r="H200" i="9" s="1"/>
  <c r="H166" i="9"/>
  <c r="K168" i="9"/>
  <c r="K211" i="9" s="1"/>
  <c r="K249" i="9" s="1"/>
  <c r="K312" i="9" s="1"/>
  <c r="L169" i="9"/>
  <c r="L212" i="9" s="1"/>
  <c r="G75" i="9"/>
  <c r="G165" i="9"/>
  <c r="G208" i="9" s="1"/>
  <c r="E232" i="9"/>
  <c r="F137" i="9"/>
  <c r="F165" i="9" s="1"/>
  <c r="F208" i="9" s="1"/>
  <c r="G170" i="9"/>
  <c r="G213" i="9" s="1"/>
  <c r="E80" i="9"/>
  <c r="L193" i="9"/>
  <c r="E193" i="9" s="1"/>
  <c r="L156" i="9"/>
  <c r="L150" i="9" s="1"/>
  <c r="E150" i="9" s="1"/>
  <c r="E269" i="9"/>
  <c r="E231" i="9"/>
  <c r="I179" i="9"/>
  <c r="J185" i="9" s="1"/>
  <c r="J178" i="9" s="1"/>
  <c r="I168" i="9"/>
  <c r="I211" i="9" s="1"/>
  <c r="L259" i="9"/>
  <c r="J168" i="9"/>
  <c r="K169" i="9"/>
  <c r="K212" i="9" s="1"/>
  <c r="L135" i="9"/>
  <c r="L129" i="9" s="1"/>
  <c r="E129" i="9" s="1"/>
  <c r="F215" i="9"/>
  <c r="E235" i="9"/>
  <c r="K230" i="9"/>
  <c r="J169" i="9"/>
  <c r="J212" i="9" s="1"/>
  <c r="E46" i="9"/>
  <c r="F115" i="9"/>
  <c r="G215" i="9"/>
  <c r="E234" i="9"/>
  <c r="L230" i="9"/>
  <c r="L166" i="9"/>
  <c r="L209" i="9" s="1"/>
  <c r="E145" i="9"/>
  <c r="H215" i="9"/>
  <c r="I215" i="9"/>
  <c r="G230" i="9"/>
  <c r="E256" i="9"/>
  <c r="E261" i="9"/>
  <c r="F40" i="9"/>
  <c r="F75" i="9" s="1"/>
  <c r="J167" i="9"/>
  <c r="K273" i="9"/>
  <c r="J215" i="9"/>
  <c r="E23" i="9"/>
  <c r="E61" i="9"/>
  <c r="F143" i="9"/>
  <c r="G44" i="9"/>
  <c r="E122" i="9"/>
  <c r="E260" i="9"/>
  <c r="J37" i="9"/>
  <c r="G39" i="9"/>
  <c r="G74" i="9" s="1"/>
  <c r="E65" i="9"/>
  <c r="L273" i="9"/>
  <c r="E276" i="9"/>
  <c r="G273" i="9"/>
  <c r="H209" i="9"/>
  <c r="H333" i="9" s="1"/>
  <c r="H44" i="9"/>
  <c r="G136" i="9"/>
  <c r="E176" i="9"/>
  <c r="K215" i="9"/>
  <c r="E219" i="9"/>
  <c r="E254" i="9"/>
  <c r="I44" i="9"/>
  <c r="G115" i="9"/>
  <c r="L215" i="9"/>
  <c r="H252" i="9"/>
  <c r="L165" i="9"/>
  <c r="L208" i="9" s="1"/>
  <c r="H143" i="9"/>
  <c r="F168" i="9"/>
  <c r="F211" i="9" s="1"/>
  <c r="G169" i="9"/>
  <c r="G212" i="9" s="1"/>
  <c r="G322" i="9" s="1"/>
  <c r="H170" i="9"/>
  <c r="H213" i="9" s="1"/>
  <c r="H323" i="9" s="1"/>
  <c r="E268" i="9"/>
  <c r="H273" i="9"/>
  <c r="J273" i="9"/>
  <c r="K139" i="9"/>
  <c r="E267" i="9"/>
  <c r="I273" i="9"/>
  <c r="L72" i="9"/>
  <c r="I167" i="9"/>
  <c r="K166" i="9"/>
  <c r="K209" i="9" s="1"/>
  <c r="E16" i="9"/>
  <c r="K37" i="9"/>
  <c r="H58" i="9"/>
  <c r="G266" i="9"/>
  <c r="E141" i="9"/>
  <c r="E157" i="9"/>
  <c r="I175" i="9"/>
  <c r="I172" i="9" s="1"/>
  <c r="G204" i="9"/>
  <c r="G211" i="9" s="1"/>
  <c r="E218" i="9"/>
  <c r="J230" i="9"/>
  <c r="K266" i="9"/>
  <c r="E275" i="9"/>
  <c r="E279" i="9"/>
  <c r="E9" i="9"/>
  <c r="L37" i="9"/>
  <c r="F39" i="9"/>
  <c r="F74" i="9" s="1"/>
  <c r="J211" i="9"/>
  <c r="J241" i="9" s="1"/>
  <c r="J304" i="9" s="1"/>
  <c r="I43" i="9"/>
  <c r="I78" i="9" s="1"/>
  <c r="E78" i="9" s="1"/>
  <c r="F58" i="9"/>
  <c r="F97" i="9"/>
  <c r="F94" i="9" s="1"/>
  <c r="H266" i="9"/>
  <c r="H139" i="9"/>
  <c r="H136" i="9" s="1"/>
  <c r="E140" i="9"/>
  <c r="E174" i="9"/>
  <c r="E177" i="9"/>
  <c r="L175" i="9"/>
  <c r="L203" i="9" s="1"/>
  <c r="E217" i="9"/>
  <c r="E221" i="9"/>
  <c r="E257" i="9"/>
  <c r="J259" i="9"/>
  <c r="E272" i="9"/>
  <c r="E30" i="9"/>
  <c r="H212" i="9"/>
  <c r="H242" i="9" s="1"/>
  <c r="H305" i="9" s="1"/>
  <c r="F166" i="9"/>
  <c r="H168" i="9"/>
  <c r="H211" i="9" s="1"/>
  <c r="L168" i="9"/>
  <c r="L211" i="9" s="1"/>
  <c r="I169" i="9"/>
  <c r="I212" i="9" s="1"/>
  <c r="E118" i="9"/>
  <c r="L266" i="9"/>
  <c r="I143" i="9"/>
  <c r="J149" i="9" s="1"/>
  <c r="J142" i="9" s="1"/>
  <c r="E216" i="9"/>
  <c r="E220" i="9"/>
  <c r="E271" i="9"/>
  <c r="I208" i="9"/>
  <c r="H208" i="9"/>
  <c r="I262" i="9"/>
  <c r="I328" i="9" s="1"/>
  <c r="E328" i="9" s="1"/>
  <c r="I233" i="9"/>
  <c r="I265" i="9"/>
  <c r="I259" i="9" s="1"/>
  <c r="I236" i="9"/>
  <c r="E236" i="9" s="1"/>
  <c r="H101" i="9"/>
  <c r="H97" i="9"/>
  <c r="H94" i="9" s="1"/>
  <c r="L97" i="9"/>
  <c r="J108" i="9"/>
  <c r="E146" i="9"/>
  <c r="G203" i="9"/>
  <c r="G172" i="9"/>
  <c r="E54" i="9"/>
  <c r="E73" i="9"/>
  <c r="E76" i="9"/>
  <c r="E77" i="9"/>
  <c r="H87" i="9"/>
  <c r="L139" i="9"/>
  <c r="E201" i="9"/>
  <c r="H40" i="9"/>
  <c r="F262" i="9"/>
  <c r="F259" i="9" s="1"/>
  <c r="F233" i="9"/>
  <c r="E90" i="9"/>
  <c r="F170" i="9"/>
  <c r="F213" i="9" s="1"/>
  <c r="E104" i="9"/>
  <c r="E205" i="9"/>
  <c r="J208" i="9"/>
  <c r="J72" i="9"/>
  <c r="K72" i="9"/>
  <c r="K208" i="9"/>
  <c r="E38" i="9"/>
  <c r="I40" i="9"/>
  <c r="E41" i="9"/>
  <c r="E42" i="9"/>
  <c r="I51" i="9"/>
  <c r="E51" i="9" s="1"/>
  <c r="H262" i="9"/>
  <c r="H259" i="9" s="1"/>
  <c r="H233" i="9"/>
  <c r="H230" i="9" s="1"/>
  <c r="E57" i="9"/>
  <c r="K87" i="9"/>
  <c r="L93" i="9" s="1"/>
  <c r="E95" i="9"/>
  <c r="E96" i="9"/>
  <c r="E98" i="9"/>
  <c r="F169" i="9"/>
  <c r="E99" i="9"/>
  <c r="I101" i="9"/>
  <c r="J107" i="9" s="1"/>
  <c r="I100" i="9"/>
  <c r="J138" i="9"/>
  <c r="G179" i="9"/>
  <c r="F179" i="9"/>
  <c r="F175" i="9"/>
  <c r="J175" i="9"/>
  <c r="I203" i="9"/>
  <c r="I200" i="9" s="1"/>
  <c r="G259" i="9"/>
  <c r="E263" i="9"/>
  <c r="F266" i="9"/>
  <c r="J266" i="9"/>
  <c r="F273" i="9"/>
  <c r="E277" i="9"/>
  <c r="G202" i="9"/>
  <c r="I252" i="9"/>
  <c r="E253" i="9"/>
  <c r="K258" i="9"/>
  <c r="K252" i="9" s="1"/>
  <c r="G97" i="9"/>
  <c r="G94" i="9" s="1"/>
  <c r="K97" i="9"/>
  <c r="H115" i="9"/>
  <c r="L115" i="9"/>
  <c r="E173" i="9"/>
  <c r="K175" i="9"/>
  <c r="K186" i="9"/>
  <c r="L192" i="9" s="1"/>
  <c r="E192" i="9" s="1"/>
  <c r="K259" i="9"/>
  <c r="E265" i="9"/>
  <c r="I138" i="9"/>
  <c r="I136" i="9" s="1"/>
  <c r="E182" i="9"/>
  <c r="L255" i="9"/>
  <c r="E255" i="9" s="1"/>
  <c r="J258" i="9"/>
  <c r="E264" i="9"/>
  <c r="I266" i="9"/>
  <c r="E270" i="9"/>
  <c r="E274" i="9"/>
  <c r="E278" i="9"/>
  <c r="J226" i="9" l="1"/>
  <c r="J294" i="9" s="1"/>
  <c r="H172" i="9"/>
  <c r="E135" i="9"/>
  <c r="E74" i="9"/>
  <c r="F136" i="9"/>
  <c r="E137" i="9"/>
  <c r="J179" i="9"/>
  <c r="K185" i="9" s="1"/>
  <c r="K178" i="9" s="1"/>
  <c r="K206" i="9" s="1"/>
  <c r="G37" i="9"/>
  <c r="K321" i="9"/>
  <c r="H224" i="9"/>
  <c r="H292" i="9" s="1"/>
  <c r="L242" i="9"/>
  <c r="L305" i="9" s="1"/>
  <c r="L227" i="9"/>
  <c r="L295" i="9" s="1"/>
  <c r="L322" i="9"/>
  <c r="L250" i="9"/>
  <c r="L313" i="9" s="1"/>
  <c r="E39" i="9"/>
  <c r="K226" i="9"/>
  <c r="K294" i="9" s="1"/>
  <c r="E204" i="9"/>
  <c r="G72" i="9"/>
  <c r="J249" i="9"/>
  <c r="J312" i="9" s="1"/>
  <c r="E156" i="9"/>
  <c r="G321" i="9"/>
  <c r="G249" i="9"/>
  <c r="G312" i="9" s="1"/>
  <c r="G226" i="9"/>
  <c r="G294" i="9" s="1"/>
  <c r="G243" i="9"/>
  <c r="G306" i="9" s="1"/>
  <c r="G251" i="9"/>
  <c r="G314" i="9" s="1"/>
  <c r="G228" i="9"/>
  <c r="G296" i="9" s="1"/>
  <c r="G323" i="9"/>
  <c r="J143" i="9"/>
  <c r="K149" i="9" s="1"/>
  <c r="K143" i="9" s="1"/>
  <c r="L149" i="9" s="1"/>
  <c r="E44" i="9"/>
  <c r="F72" i="9"/>
  <c r="I321" i="9"/>
  <c r="I226" i="9"/>
  <c r="I294" i="9" s="1"/>
  <c r="J242" i="9"/>
  <c r="J305" i="9" s="1"/>
  <c r="J250" i="9"/>
  <c r="J313" i="9" s="1"/>
  <c r="J227" i="9"/>
  <c r="J295" i="9" s="1"/>
  <c r="J322" i="9"/>
  <c r="F167" i="9"/>
  <c r="F164" i="9" s="1"/>
  <c r="H250" i="9"/>
  <c r="H313" i="9" s="1"/>
  <c r="E215" i="9"/>
  <c r="E139" i="9"/>
  <c r="L247" i="9"/>
  <c r="L310" i="9" s="1"/>
  <c r="L239" i="9"/>
  <c r="L302" i="9" s="1"/>
  <c r="L224" i="9"/>
  <c r="L292" i="9" s="1"/>
  <c r="L319" i="9"/>
  <c r="L333" i="9"/>
  <c r="F321" i="9"/>
  <c r="F249" i="9"/>
  <c r="F241" i="9"/>
  <c r="F304" i="9" s="1"/>
  <c r="F226" i="9"/>
  <c r="F294" i="9" s="1"/>
  <c r="K250" i="9"/>
  <c r="K313" i="9" s="1"/>
  <c r="K322" i="9"/>
  <c r="K227" i="9"/>
  <c r="K295" i="9" s="1"/>
  <c r="K242" i="9"/>
  <c r="K305" i="9" s="1"/>
  <c r="G200" i="9"/>
  <c r="K241" i="9"/>
  <c r="K304" i="9" s="1"/>
  <c r="J321" i="9"/>
  <c r="H167" i="9"/>
  <c r="H164" i="9" s="1"/>
  <c r="G242" i="9"/>
  <c r="G305" i="9" s="1"/>
  <c r="H247" i="9"/>
  <c r="H310" i="9" s="1"/>
  <c r="G227" i="9"/>
  <c r="G295" i="9" s="1"/>
  <c r="H239" i="9"/>
  <c r="H302" i="9" s="1"/>
  <c r="E115" i="9"/>
  <c r="G250" i="9"/>
  <c r="G313" i="9" s="1"/>
  <c r="I249" i="9"/>
  <c r="I312" i="9" s="1"/>
  <c r="H319" i="9"/>
  <c r="I241" i="9"/>
  <c r="I304" i="9" s="1"/>
  <c r="E169" i="9"/>
  <c r="G241" i="9"/>
  <c r="G304" i="9" s="1"/>
  <c r="H322" i="9"/>
  <c r="E43" i="9"/>
  <c r="K333" i="9"/>
  <c r="K319" i="9"/>
  <c r="K247" i="9"/>
  <c r="K310" i="9" s="1"/>
  <c r="K239" i="9"/>
  <c r="K302" i="9" s="1"/>
  <c r="K224" i="9"/>
  <c r="K292" i="9" s="1"/>
  <c r="L238" i="9"/>
  <c r="L301" i="9" s="1"/>
  <c r="L223" i="9"/>
  <c r="L291" i="9" s="1"/>
  <c r="L246" i="9"/>
  <c r="L309" i="9" s="1"/>
  <c r="L332" i="9"/>
  <c r="L318" i="9"/>
  <c r="E168" i="9"/>
  <c r="J136" i="9"/>
  <c r="E165" i="9"/>
  <c r="H228" i="9"/>
  <c r="H296" i="9" s="1"/>
  <c r="H243" i="9"/>
  <c r="H306" i="9" s="1"/>
  <c r="H251" i="9"/>
  <c r="H314" i="9" s="1"/>
  <c r="I230" i="9"/>
  <c r="E273" i="9"/>
  <c r="H227" i="9"/>
  <c r="H295" i="9" s="1"/>
  <c r="E58" i="9"/>
  <c r="F37" i="9"/>
  <c r="I322" i="9"/>
  <c r="I227" i="9"/>
  <c r="I295" i="9" s="1"/>
  <c r="I250" i="9"/>
  <c r="I313" i="9" s="1"/>
  <c r="I242" i="9"/>
  <c r="I305" i="9" s="1"/>
  <c r="L226" i="9"/>
  <c r="L294" i="9" s="1"/>
  <c r="L249" i="9"/>
  <c r="L312" i="9" s="1"/>
  <c r="L321" i="9"/>
  <c r="L241" i="9"/>
  <c r="L304" i="9" s="1"/>
  <c r="H249" i="9"/>
  <c r="H312" i="9" s="1"/>
  <c r="H241" i="9"/>
  <c r="H304" i="9" s="1"/>
  <c r="H321" i="9"/>
  <c r="H226" i="9"/>
  <c r="H294" i="9" s="1"/>
  <c r="E211" i="9"/>
  <c r="E321" i="9" s="1"/>
  <c r="E202" i="9"/>
  <c r="I166" i="9"/>
  <c r="I209" i="9" s="1"/>
  <c r="F209" i="9"/>
  <c r="F212" i="9"/>
  <c r="F322" i="9" s="1"/>
  <c r="F251" i="9"/>
  <c r="F314" i="9" s="1"/>
  <c r="F323" i="9"/>
  <c r="F243" i="9"/>
  <c r="F306" i="9" s="1"/>
  <c r="F228" i="9"/>
  <c r="H75" i="9"/>
  <c r="H37" i="9"/>
  <c r="F332" i="9"/>
  <c r="F318" i="9"/>
  <c r="E208" i="9"/>
  <c r="F246" i="9"/>
  <c r="F238" i="9"/>
  <c r="F223" i="9"/>
  <c r="J166" i="9"/>
  <c r="H332" i="9"/>
  <c r="H318" i="9"/>
  <c r="H246" i="9"/>
  <c r="H238" i="9"/>
  <c r="H301" i="9" s="1"/>
  <c r="H223" i="9"/>
  <c r="H291" i="9" s="1"/>
  <c r="J172" i="9"/>
  <c r="J203" i="9"/>
  <c r="K332" i="9"/>
  <c r="K318" i="9"/>
  <c r="K238" i="9"/>
  <c r="K223" i="9"/>
  <c r="K246" i="9"/>
  <c r="K309" i="9" s="1"/>
  <c r="E138" i="9"/>
  <c r="G167" i="9"/>
  <c r="I246" i="9"/>
  <c r="B344" i="9"/>
  <c r="I318" i="9"/>
  <c r="I332" i="9"/>
  <c r="I238" i="9"/>
  <c r="I301" i="9" s="1"/>
  <c r="I223" i="9"/>
  <c r="K167" i="9"/>
  <c r="E266" i="9"/>
  <c r="K114" i="9"/>
  <c r="E259" i="9"/>
  <c r="L258" i="9"/>
  <c r="L252" i="9" s="1"/>
  <c r="L186" i="9"/>
  <c r="E186" i="9" s="1"/>
  <c r="I75" i="9"/>
  <c r="I37" i="9"/>
  <c r="E233" i="9"/>
  <c r="F230" i="9"/>
  <c r="E93" i="9"/>
  <c r="I170" i="9"/>
  <c r="I213" i="9" s="1"/>
  <c r="I94" i="9"/>
  <c r="L167" i="9"/>
  <c r="G209" i="9"/>
  <c r="J252" i="9"/>
  <c r="K203" i="9"/>
  <c r="F172" i="9"/>
  <c r="F203" i="9"/>
  <c r="E175" i="9"/>
  <c r="J101" i="9"/>
  <c r="K107" i="9" s="1"/>
  <c r="J100" i="9"/>
  <c r="E40" i="9"/>
  <c r="J318" i="9"/>
  <c r="J332" i="9"/>
  <c r="J246" i="9"/>
  <c r="J223" i="9"/>
  <c r="J291" i="9" s="1"/>
  <c r="J238" i="9"/>
  <c r="J206" i="9"/>
  <c r="L87" i="9"/>
  <c r="E87" i="9" s="1"/>
  <c r="E262" i="9"/>
  <c r="G332" i="9"/>
  <c r="G318" i="9"/>
  <c r="G246" i="9"/>
  <c r="G309" i="9" s="1"/>
  <c r="G238" i="9"/>
  <c r="G301" i="9" s="1"/>
  <c r="G223" i="9"/>
  <c r="G291" i="9" s="1"/>
  <c r="E97" i="9"/>
  <c r="K179" i="9" l="1"/>
  <c r="L185" i="9" s="1"/>
  <c r="L178" i="9" s="1"/>
  <c r="L206" i="9" s="1"/>
  <c r="L200" i="9" s="1"/>
  <c r="E230" i="9"/>
  <c r="K142" i="9"/>
  <c r="K172" i="9"/>
  <c r="K200" i="9"/>
  <c r="E252" i="9"/>
  <c r="E249" i="9"/>
  <c r="E312" i="9" s="1"/>
  <c r="E258" i="9"/>
  <c r="E241" i="9"/>
  <c r="E304" i="9" s="1"/>
  <c r="F312" i="9"/>
  <c r="L172" i="9"/>
  <c r="E172" i="9" s="1"/>
  <c r="F227" i="9"/>
  <c r="E227" i="9" s="1"/>
  <c r="L179" i="9"/>
  <c r="E179" i="9" s="1"/>
  <c r="F242" i="9"/>
  <c r="E242" i="9" s="1"/>
  <c r="E185" i="9"/>
  <c r="F250" i="9"/>
  <c r="E250" i="9" s="1"/>
  <c r="E226" i="9"/>
  <c r="E294" i="9" s="1"/>
  <c r="E212" i="9"/>
  <c r="E206" i="9"/>
  <c r="F247" i="9"/>
  <c r="F310" i="9" s="1"/>
  <c r="F319" i="9"/>
  <c r="F239" i="9"/>
  <c r="F302" i="9" s="1"/>
  <c r="F333" i="9"/>
  <c r="F224" i="9"/>
  <c r="F292" i="9" s="1"/>
  <c r="J309" i="9"/>
  <c r="J209" i="9"/>
  <c r="E209" i="9" s="1"/>
  <c r="G333" i="9"/>
  <c r="G319" i="9"/>
  <c r="G239" i="9"/>
  <c r="G224" i="9"/>
  <c r="G247" i="9"/>
  <c r="I210" i="9"/>
  <c r="I72" i="9"/>
  <c r="E223" i="9"/>
  <c r="E291" i="9" s="1"/>
  <c r="H210" i="9"/>
  <c r="H72" i="9"/>
  <c r="E75" i="9"/>
  <c r="K100" i="9"/>
  <c r="K101" i="9"/>
  <c r="L107" i="9" s="1"/>
  <c r="E107" i="9" s="1"/>
  <c r="E238" i="9"/>
  <c r="E301" i="9" s="1"/>
  <c r="E37" i="9"/>
  <c r="B345" i="9"/>
  <c r="I319" i="9"/>
  <c r="I333" i="9"/>
  <c r="I239" i="9"/>
  <c r="I302" i="9" s="1"/>
  <c r="I247" i="9"/>
  <c r="I310" i="9" s="1"/>
  <c r="I224" i="9"/>
  <c r="E166" i="9"/>
  <c r="K210" i="9"/>
  <c r="I309" i="9"/>
  <c r="E246" i="9"/>
  <c r="E309" i="9" s="1"/>
  <c r="F291" i="9"/>
  <c r="E203" i="9"/>
  <c r="F200" i="9"/>
  <c r="F210" i="9"/>
  <c r="B347" i="9"/>
  <c r="I323" i="9"/>
  <c r="I243" i="9"/>
  <c r="I306" i="9" s="1"/>
  <c r="I251" i="9"/>
  <c r="I314" i="9" s="1"/>
  <c r="I228" i="9"/>
  <c r="I296" i="9" s="1"/>
  <c r="K136" i="9"/>
  <c r="I291" i="9"/>
  <c r="K291" i="9"/>
  <c r="E322" i="9"/>
  <c r="F301" i="9"/>
  <c r="E332" i="9"/>
  <c r="E318" i="9"/>
  <c r="J301" i="9"/>
  <c r="J170" i="9"/>
  <c r="J94" i="9"/>
  <c r="L210" i="9"/>
  <c r="E167" i="9"/>
  <c r="K108" i="9"/>
  <c r="L142" i="9"/>
  <c r="L136" i="9" s="1"/>
  <c r="L143" i="9"/>
  <c r="E143" i="9" s="1"/>
  <c r="E149" i="9"/>
  <c r="G164" i="9"/>
  <c r="G210" i="9"/>
  <c r="K301" i="9"/>
  <c r="J210" i="9"/>
  <c r="J200" i="9"/>
  <c r="H309" i="9"/>
  <c r="F309" i="9"/>
  <c r="F296" i="9"/>
  <c r="I164" i="9"/>
  <c r="E178" i="9" l="1"/>
  <c r="F313" i="9"/>
  <c r="E295" i="9"/>
  <c r="F295" i="9"/>
  <c r="E305" i="9"/>
  <c r="E313" i="9"/>
  <c r="F305" i="9"/>
  <c r="E72" i="9"/>
  <c r="L334" i="9"/>
  <c r="L320" i="9"/>
  <c r="L248" i="9"/>
  <c r="L311" i="9" s="1"/>
  <c r="L240" i="9"/>
  <c r="L303" i="9" s="1"/>
  <c r="L225" i="9"/>
  <c r="I292" i="9"/>
  <c r="B346" i="9"/>
  <c r="I248" i="9"/>
  <c r="I245" i="9" s="1"/>
  <c r="I320" i="9"/>
  <c r="I334" i="9"/>
  <c r="I240" i="9"/>
  <c r="I237" i="9" s="1"/>
  <c r="I225" i="9"/>
  <c r="I293" i="9" s="1"/>
  <c r="J213" i="9"/>
  <c r="K334" i="9"/>
  <c r="K320" i="9"/>
  <c r="K240" i="9"/>
  <c r="K225" i="9"/>
  <c r="K248" i="9"/>
  <c r="K311" i="9" s="1"/>
  <c r="E333" i="9"/>
  <c r="E319" i="9"/>
  <c r="F334" i="9"/>
  <c r="F320" i="9"/>
  <c r="E210" i="9"/>
  <c r="F240" i="9"/>
  <c r="F248" i="9"/>
  <c r="F225" i="9"/>
  <c r="F207" i="9"/>
  <c r="J320" i="9"/>
  <c r="J334" i="9"/>
  <c r="J225" i="9"/>
  <c r="J293" i="9" s="1"/>
  <c r="J248" i="9"/>
  <c r="J311" i="9" s="1"/>
  <c r="J240" i="9"/>
  <c r="J303" i="9" s="1"/>
  <c r="I207" i="9"/>
  <c r="E200" i="9"/>
  <c r="L114" i="9"/>
  <c r="L100" i="9" s="1"/>
  <c r="E142" i="9"/>
  <c r="L101" i="9"/>
  <c r="E101" i="9" s="1"/>
  <c r="G292" i="9"/>
  <c r="G302" i="9"/>
  <c r="J319" i="9"/>
  <c r="J247" i="9"/>
  <c r="J310" i="9" s="1"/>
  <c r="J333" i="9"/>
  <c r="J224" i="9"/>
  <c r="E224" i="9" s="1"/>
  <c r="E292" i="9" s="1"/>
  <c r="J239" i="9"/>
  <c r="G334" i="9"/>
  <c r="G320" i="9"/>
  <c r="G248" i="9"/>
  <c r="G245" i="9" s="1"/>
  <c r="G240" i="9"/>
  <c r="G237" i="9" s="1"/>
  <c r="G225" i="9"/>
  <c r="G222" i="9" s="1"/>
  <c r="G207" i="9"/>
  <c r="E136" i="9"/>
  <c r="K170" i="9"/>
  <c r="K94" i="9"/>
  <c r="H334" i="9"/>
  <c r="H320" i="9"/>
  <c r="H248" i="9"/>
  <c r="H245" i="9" s="1"/>
  <c r="H240" i="9"/>
  <c r="H237" i="9" s="1"/>
  <c r="H225" i="9"/>
  <c r="H222" i="9" s="1"/>
  <c r="H207" i="9"/>
  <c r="G310" i="9"/>
  <c r="J164" i="9"/>
  <c r="G303" i="9" l="1"/>
  <c r="J292" i="9"/>
  <c r="G311" i="9"/>
  <c r="H311" i="9"/>
  <c r="H293" i="9"/>
  <c r="G293" i="9"/>
  <c r="H303" i="9"/>
  <c r="I303" i="9"/>
  <c r="I222" i="9"/>
  <c r="I290" i="9" s="1"/>
  <c r="E334" i="9"/>
  <c r="E320" i="9"/>
  <c r="H317" i="9"/>
  <c r="H308" i="9"/>
  <c r="H300" i="9"/>
  <c r="H290" i="9"/>
  <c r="G317" i="9"/>
  <c r="G308" i="9"/>
  <c r="G300" i="9"/>
  <c r="G290" i="9"/>
  <c r="I317" i="9"/>
  <c r="I308" i="9"/>
  <c r="I300" i="9"/>
  <c r="E225" i="9"/>
  <c r="E293" i="9" s="1"/>
  <c r="F222" i="9"/>
  <c r="J323" i="9"/>
  <c r="J251" i="9"/>
  <c r="J314" i="9" s="1"/>
  <c r="J228" i="9"/>
  <c r="J243" i="9"/>
  <c r="J207" i="9"/>
  <c r="L94" i="9"/>
  <c r="E94" i="9" s="1"/>
  <c r="L170" i="9"/>
  <c r="E170" i="9" s="1"/>
  <c r="E100" i="9"/>
  <c r="L108" i="9"/>
  <c r="E108" i="9" s="1"/>
  <c r="E114" i="9"/>
  <c r="E248" i="9"/>
  <c r="E311" i="9" s="1"/>
  <c r="F245" i="9"/>
  <c r="F308" i="9" s="1"/>
  <c r="F311" i="9"/>
  <c r="K213" i="9"/>
  <c r="K164" i="9"/>
  <c r="E239" i="9"/>
  <c r="E302" i="9" s="1"/>
  <c r="E240" i="9"/>
  <c r="E303" i="9" s="1"/>
  <c r="F237" i="9"/>
  <c r="K293" i="9"/>
  <c r="I311" i="9"/>
  <c r="E247" i="9"/>
  <c r="E310" i="9" s="1"/>
  <c r="J302" i="9"/>
  <c r="F317" i="9"/>
  <c r="F303" i="9"/>
  <c r="F293" i="9"/>
  <c r="K303" i="9"/>
  <c r="L293" i="9"/>
  <c r="J245" i="9" l="1"/>
  <c r="J308" i="9" s="1"/>
  <c r="J306" i="9"/>
  <c r="J317" i="9"/>
  <c r="L213" i="9"/>
  <c r="E213" i="9" s="1"/>
  <c r="L164" i="9"/>
  <c r="E164" i="9" s="1"/>
  <c r="K323" i="9"/>
  <c r="K251" i="9"/>
  <c r="K245" i="9" s="1"/>
  <c r="K243" i="9"/>
  <c r="K237" i="9" s="1"/>
  <c r="K228" i="9"/>
  <c r="K222" i="9" s="1"/>
  <c r="K207" i="9"/>
  <c r="F300" i="9"/>
  <c r="F290" i="9"/>
  <c r="J222" i="9"/>
  <c r="J290" i="9" s="1"/>
  <c r="J237" i="9"/>
  <c r="J296" i="9"/>
  <c r="K296" i="9" l="1"/>
  <c r="E323" i="9"/>
  <c r="K317" i="9"/>
  <c r="K308" i="9"/>
  <c r="K300" i="9"/>
  <c r="K290" i="9"/>
  <c r="K306" i="9"/>
  <c r="J300" i="9"/>
  <c r="K314" i="9"/>
  <c r="L323" i="9"/>
  <c r="L251" i="9"/>
  <c r="L245" i="9" s="1"/>
  <c r="E245" i="9" s="1"/>
  <c r="L243" i="9"/>
  <c r="L306" i="9" s="1"/>
  <c r="L228" i="9"/>
  <c r="L296" i="9" s="1"/>
  <c r="L207" i="9"/>
  <c r="E207" i="9" s="1"/>
  <c r="E251" i="9" l="1"/>
  <c r="E314" i="9" s="1"/>
  <c r="E317" i="9"/>
  <c r="E308" i="9"/>
  <c r="L317" i="9"/>
  <c r="L308" i="9"/>
  <c r="L222" i="9"/>
  <c r="E222" i="9" s="1"/>
  <c r="E290" i="9" s="1"/>
  <c r="E228" i="9"/>
  <c r="E296" i="9" s="1"/>
  <c r="L237" i="9"/>
  <c r="E237" i="9" s="1"/>
  <c r="E300" i="9" s="1"/>
  <c r="E243" i="9"/>
  <c r="E306" i="9" s="1"/>
  <c r="L314" i="9"/>
  <c r="L290" i="9" l="1"/>
  <c r="L300" i="9"/>
  <c r="K37" i="1" l="1"/>
  <c r="M37" i="1"/>
  <c r="H37" i="1"/>
  <c r="H38" i="1" l="1"/>
  <c r="H60" i="1"/>
  <c r="H44" i="1" s="1"/>
  <c r="K39" i="1" l="1"/>
  <c r="K38" i="1"/>
  <c r="O37" i="1"/>
  <c r="M38" i="1"/>
  <c r="H40" i="1" l="1"/>
  <c r="H39" i="1"/>
  <c r="M39" i="1"/>
  <c r="O39" i="1"/>
  <c r="R38" i="1"/>
  <c r="K40" i="1"/>
  <c r="R39" i="1"/>
  <c r="D39" i="1"/>
  <c r="R37" i="1"/>
  <c r="D37" i="1" l="1"/>
  <c r="H36" i="1" l="1"/>
  <c r="O35" i="1" l="1"/>
  <c r="O36" i="1"/>
  <c r="R35" i="1" l="1"/>
  <c r="R36" i="1"/>
  <c r="K36" i="1"/>
  <c r="M35" i="1"/>
  <c r="K35" i="1"/>
  <c r="H35" i="1"/>
  <c r="M36" i="1" l="1"/>
  <c r="D35" i="1"/>
  <c r="H34" i="1"/>
  <c r="D36" i="1" l="1"/>
  <c r="K34" i="1"/>
  <c r="O38" i="1" l="1"/>
  <c r="D38" i="1" l="1"/>
  <c r="M40" i="1" l="1"/>
  <c r="R40" i="1" l="1"/>
  <c r="O40" i="1" l="1"/>
  <c r="R34" i="1"/>
  <c r="M34" i="1"/>
  <c r="D40" i="1"/>
  <c r="D34" i="1" l="1"/>
  <c r="O3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G43" authorId="0" shapeId="0" xr:uid="{F609110B-25C7-49DE-856B-97531CF10CBC}">
      <text>
        <r>
          <rPr>
            <b/>
            <sz val="9"/>
            <color indexed="81"/>
            <rFont val="Tahoma"/>
            <family val="2"/>
            <charset val="204"/>
          </rPr>
          <t xml:space="preserve">3000,0 </t>
        </r>
        <r>
          <rPr>
            <sz val="9"/>
            <color indexed="81"/>
            <rFont val="Tahoma"/>
            <family val="2"/>
            <charset val="204"/>
          </rPr>
          <t xml:space="preserve">- средства СПД-  Модернизация культурно- досугового центра "Сияние Севера"(приобретение звукового оборудования), 
</t>
        </r>
        <r>
          <rPr>
            <b/>
            <sz val="9"/>
            <color indexed="81"/>
            <rFont val="Tahoma"/>
            <family val="2"/>
            <charset val="204"/>
          </rPr>
          <t>281,760</t>
        </r>
        <r>
          <rPr>
            <sz val="9"/>
            <color indexed="81"/>
            <rFont val="Tahoma"/>
            <family val="2"/>
            <charset val="204"/>
          </rPr>
          <t xml:space="preserve">-  средства СПД - Реализация проекта "Культурный калейдоскоп событий" -  развитие инфраструктуры дворца культуры "Кедровый" сп.Куть-Ях (приобретение столов и стульев).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Автор</author>
  </authors>
  <commentList>
    <comment ref="I46" authorId="0" shapeId="0" xr:uid="{00000000-0006-0000-0900-000001000000}">
      <text>
        <r>
          <rPr>
            <b/>
            <sz val="9"/>
            <color indexed="81"/>
            <rFont val="Tahoma"/>
            <family val="2"/>
            <charset val="204"/>
          </rPr>
          <t>Увеличение: НАКАЗЫ Избирателей</t>
        </r>
        <r>
          <rPr>
            <sz val="9"/>
            <color indexed="81"/>
            <rFont val="Tahoma"/>
            <family val="2"/>
            <charset val="204"/>
          </rPr>
          <t xml:space="preserve">
</t>
        </r>
      </text>
    </comment>
    <comment ref="I50" authorId="0" shapeId="0" xr:uid="{00000000-0006-0000-0900-000002000000}">
      <text>
        <r>
          <rPr>
            <b/>
            <sz val="9"/>
            <color indexed="81"/>
            <rFont val="Tahoma"/>
            <family val="2"/>
            <charset val="204"/>
          </rPr>
          <t xml:space="preserve">Уменьшение в связи с едфицитом средств местного бюджета
осталось:
Средства поселений:
Приобретения 9 598,37
</t>
        </r>
        <r>
          <rPr>
            <b/>
            <u/>
            <sz val="9"/>
            <color indexed="81"/>
            <rFont val="Tahoma"/>
            <family val="2"/>
            <charset val="204"/>
          </rPr>
          <t>БИБЛИОТЕКИ   2 932,32 в т.ч:</t>
        </r>
        <r>
          <rPr>
            <b/>
            <sz val="9"/>
            <color indexed="81"/>
            <rFont val="Tahoma"/>
            <family val="2"/>
            <charset val="204"/>
          </rPr>
          <t xml:space="preserve">
Пойковский  817,00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Салым 326,17 в т.ч:
1) библ фонд 200,00
2) Моноблок 60,00
3) Жалюзи 30,168
4)Дезар 36,00
Куть-Ях 206,55
1) библ фонд 150,00
2) бокс компьютерный 20,00
3) Шкаф для одежды 11,55
4) Стол прямой 25,00
У-Юган 469,10
1) Библ фонд 160,00
2) Шкаф для докуменетов 13,00
3) Мобьный стол трансформер 90,00
4) Штатив с креплением 9,6
5) Моноблок 120,00
6) Ноутбук 60,00
7) Флипчарт 12,00
8) Ламинатор 4,5
Лемпино  193,00
библ фонд 100,00    
шкаф пенал со стеклом 13,00
Мобильные столы 6 шт 80,00
Какатеевы 197,00
Ноутбук 60,00
Штатиф 5,0
Флипчарт 12,00
Сентябрьский 172,00
библ фонд 100,00
Деза 72,00
Сингапай 551,50
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
</t>
        </r>
        <r>
          <rPr>
            <b/>
            <u/>
            <sz val="9"/>
            <color indexed="81"/>
            <rFont val="Tahoma"/>
            <family val="2"/>
            <charset val="204"/>
          </rPr>
          <t>ДОМА КУЛЬТУРЫ  6 503 ,42</t>
        </r>
        <r>
          <rPr>
            <b/>
            <sz val="9"/>
            <color indexed="81"/>
            <rFont val="Tahoma"/>
            <family val="2"/>
            <charset val="204"/>
          </rPr>
          <t xml:space="preserve">
салым 2 2254,02 ( генератор бесперебойного питания 150,00 Звуковой оборудование 2 074,017)
К-Ях - 62,0 (системный блок 50,00,                             ламинатор 12,00)
У-Юган - 40,00 (бензиновый генератор)
Каркатеевы - 2 167,65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
Сентябрьский 1939,75 
Сценические костюмы 200,00
Куллер для воды 13,00
Дезары 40,00
Системный блок 30,00
Швейное оборудование 146,97
Звуковое оборудование 1 522,780
Сингапай 70,0 (Костюмы)</t>
        </r>
        <r>
          <rPr>
            <sz val="9"/>
            <color indexed="81"/>
            <rFont val="Tahoma"/>
            <family val="2"/>
            <charset val="204"/>
          </rPr>
          <t xml:space="preserve">
</t>
        </r>
      </text>
    </comment>
    <comment ref="P50" authorId="1" shapeId="0" xr:uid="{00000000-0006-0000-0900-000003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R50" authorId="1" shapeId="0" xr:uid="{00000000-0006-0000-0900-000004000000}">
      <text>
        <r>
          <rPr>
            <b/>
            <sz val="10"/>
            <color indexed="81"/>
            <rFont val="Tahoma"/>
            <family val="2"/>
            <charset val="204"/>
          </rPr>
          <t>ВСЕГО 23 571,10901</t>
        </r>
        <r>
          <rPr>
            <b/>
            <sz val="9"/>
            <color indexed="81"/>
            <rFont val="Tahoma"/>
            <family val="2"/>
            <charset val="204"/>
          </rPr>
          <t xml:space="preserve">  в т.ч: 
</t>
        </r>
        <r>
          <rPr>
            <b/>
            <sz val="12"/>
            <color indexed="81"/>
            <rFont val="Tahoma"/>
            <family val="2"/>
            <charset val="204"/>
          </rPr>
          <t xml:space="preserve">Местный бюджет  - 15 110,90 </t>
        </r>
        <r>
          <rPr>
            <b/>
            <sz val="9"/>
            <color indexed="81"/>
            <rFont val="Tahoma"/>
            <family val="2"/>
            <charset val="204"/>
          </rPr>
          <t xml:space="preserve"> в т.ч:
</t>
        </r>
        <r>
          <rPr>
            <b/>
            <u/>
            <sz val="10"/>
            <color indexed="81"/>
            <rFont val="Tahoma"/>
            <family val="2"/>
            <charset val="204"/>
          </rPr>
          <t xml:space="preserve">МТБ  5 509,00 : </t>
        </r>
        <r>
          <rPr>
            <b/>
            <u/>
            <sz val="9"/>
            <color indexed="81"/>
            <rFont val="Tahoma"/>
            <family val="2"/>
            <charset val="204"/>
          </rPr>
          <t xml:space="preserve"> </t>
        </r>
        <r>
          <rPr>
            <b/>
            <sz val="9"/>
            <color indexed="81"/>
            <rFont val="Tahoma"/>
            <family val="2"/>
            <charset val="204"/>
          </rPr>
          <t xml:space="preserve">
ТО Культура 315,5 </t>
        </r>
        <r>
          <rPr>
            <sz val="9"/>
            <color indexed="81"/>
            <rFont val="Tahoma"/>
            <family val="2"/>
            <charset val="204"/>
          </rPr>
          <t>(мебель, оргтехника)</t>
        </r>
        <r>
          <rPr>
            <b/>
            <sz val="9"/>
            <color indexed="81"/>
            <rFont val="Tahoma"/>
            <family val="2"/>
            <charset val="204"/>
          </rPr>
          <t xml:space="preserve">
ДК Камертон 72,6 </t>
        </r>
        <r>
          <rPr>
            <sz val="9"/>
            <color indexed="81"/>
            <rFont val="Tahoma"/>
            <family val="2"/>
            <charset val="204"/>
          </rPr>
          <t>(72,6 ростовые куклы)</t>
        </r>
        <r>
          <rPr>
            <b/>
            <sz val="9"/>
            <color indexed="81"/>
            <rFont val="Tahoma"/>
            <family val="2"/>
            <charset val="204"/>
          </rPr>
          <t xml:space="preserve">
ДК Гармония 162,00</t>
        </r>
        <r>
          <rPr>
            <sz val="9"/>
            <color indexed="81"/>
            <rFont val="Tahoma"/>
            <family val="2"/>
            <charset val="204"/>
          </rPr>
          <t xml:space="preserve"> (электронное табло 56,2, 105,8 сцен.костюмы) </t>
        </r>
        <r>
          <rPr>
            <b/>
            <sz val="9"/>
            <color indexed="81"/>
            <rFont val="Tahoma"/>
            <family val="2"/>
            <charset val="204"/>
          </rPr>
          <t xml:space="preserve">
</t>
        </r>
        <r>
          <rPr>
            <sz val="9"/>
            <color indexed="81"/>
            <rFont val="Tahoma"/>
            <family val="2"/>
            <charset val="204"/>
          </rPr>
          <t xml:space="preserve">
</t>
        </r>
        <r>
          <rPr>
            <b/>
            <u/>
            <sz val="10"/>
            <color indexed="81"/>
            <rFont val="Tahoma"/>
            <family val="2"/>
            <charset val="204"/>
          </rPr>
          <t xml:space="preserve">Ремонты - 13 350,00: </t>
        </r>
        <r>
          <rPr>
            <b/>
            <sz val="9"/>
            <color indexed="81"/>
            <rFont val="Tahoma"/>
            <family val="2"/>
            <charset val="204"/>
          </rPr>
          <t xml:space="preserve">
Библ - 322,1 </t>
        </r>
        <r>
          <rPr>
            <sz val="9"/>
            <color indexed="81"/>
            <rFont val="Tahoma"/>
            <family val="2"/>
            <charset val="204"/>
          </rPr>
          <t xml:space="preserve">(ремонт туал.комнаты 95,5; замена линолиума 326,5);
</t>
        </r>
        <r>
          <rPr>
            <b/>
            <sz val="9"/>
            <color indexed="81"/>
            <rFont val="Tahoma"/>
            <family val="2"/>
            <charset val="204"/>
          </rPr>
          <t xml:space="preserve">ДК Каметон - 770,00 </t>
        </r>
        <r>
          <rPr>
            <sz val="9"/>
            <color indexed="81"/>
            <rFont val="Tahoma"/>
            <family val="2"/>
            <charset val="204"/>
          </rPr>
          <t>(демонтаж и монтаж сцены) 
Д</t>
        </r>
        <r>
          <rPr>
            <b/>
            <sz val="9"/>
            <color indexed="81"/>
            <rFont val="Tahoma"/>
            <family val="2"/>
            <charset val="204"/>
          </rPr>
          <t xml:space="preserve">К Гармония - 12 257,9 </t>
        </r>
        <r>
          <rPr>
            <sz val="9"/>
            <color indexed="81"/>
            <rFont val="Tahoma"/>
            <family val="2"/>
            <charset val="204"/>
          </rPr>
          <t xml:space="preserve">(130,0 Проектно-сметная док; 11864,9  космет.ремонт; 263,0 ремонт санузлов)
</t>
        </r>
        <r>
          <rPr>
            <b/>
            <sz val="9"/>
            <color indexed="81"/>
            <rFont val="Tahoma"/>
            <family val="2"/>
            <charset val="204"/>
          </rPr>
          <t>ДМШ - 900,00</t>
        </r>
        <r>
          <rPr>
            <sz val="9"/>
            <color indexed="81"/>
            <rFont val="Tahoma"/>
            <family val="2"/>
            <charset val="204"/>
          </rPr>
          <t xml:space="preserve"> ремонт крыльца и пожарных выходов
</t>
        </r>
        <r>
          <rPr>
            <b/>
            <sz val="12"/>
            <color indexed="81"/>
            <rFont val="Tahoma"/>
            <family val="2"/>
            <charset val="204"/>
          </rPr>
          <t xml:space="preserve">Полномочия поселений 8 460,20901:
</t>
        </r>
        <r>
          <rPr>
            <b/>
            <sz val="9"/>
            <color indexed="81"/>
            <rFont val="Tahoma"/>
            <family val="2"/>
            <charset val="204"/>
          </rPr>
          <t>Ремонты 322,10 в т.ч:
У-Юган</t>
        </r>
        <r>
          <rPr>
            <sz val="9"/>
            <color indexed="81"/>
            <rFont val="Tahoma"/>
            <family val="2"/>
            <charset val="204"/>
          </rPr>
          <t xml:space="preserve">  - Ремонт туалетной комнаты 95,0
Замена линолиума 226,6
</t>
        </r>
        <r>
          <rPr>
            <b/>
            <sz val="9"/>
            <color indexed="81"/>
            <rFont val="Tahoma"/>
            <family val="2"/>
            <charset val="204"/>
          </rPr>
          <t xml:space="preserve">Салым </t>
        </r>
        <r>
          <rPr>
            <sz val="9"/>
            <color indexed="81"/>
            <rFont val="Tahoma"/>
            <family val="2"/>
            <charset val="204"/>
          </rPr>
          <t>- 162,63 ремонт уличной сцены</t>
        </r>
        <r>
          <rPr>
            <b/>
            <sz val="12"/>
            <color indexed="81"/>
            <rFont val="Tahoma"/>
            <family val="2"/>
            <charset val="204"/>
          </rPr>
          <t xml:space="preserve">
</t>
        </r>
        <r>
          <rPr>
            <b/>
            <sz val="9"/>
            <color indexed="81"/>
            <rFont val="Tahoma"/>
            <family val="2"/>
            <charset val="204"/>
          </rPr>
          <t xml:space="preserve">
Приобретения 9 598,37
Библиотеки   2 932,32 в т.ч:
Пойковский  817,00                                                   </t>
        </r>
        <r>
          <rPr>
            <sz val="9"/>
            <color indexed="81"/>
            <rFont val="Tahoma"/>
            <family val="2"/>
            <charset val="204"/>
          </rPr>
          <t xml:space="preserve"> 1)Книжный фонд 300,00
2)Кресло офисное 80,00
3) Шкафы для документов 60,00
4) Тумба выкатная 20,00
5) Систмные блоки 140,00
6)Стеллажи пристенные 37,00
7) Кондиционер  120,00
8) Новогодние костюмы 60,00
</t>
        </r>
        <r>
          <rPr>
            <b/>
            <sz val="9"/>
            <color indexed="81"/>
            <rFont val="Tahoma"/>
            <family val="2"/>
            <charset val="204"/>
          </rPr>
          <t xml:space="preserve">Салым 326,17 в т.ч:
</t>
        </r>
        <r>
          <rPr>
            <sz val="9"/>
            <color indexed="81"/>
            <rFont val="Tahoma"/>
            <family val="2"/>
            <charset val="204"/>
          </rPr>
          <t xml:space="preserve">1) библ фонд 200,00
2) Моноблок 60,00
3) Жалюзи 30,168
4)Дезар 36,00
</t>
        </r>
        <r>
          <rPr>
            <b/>
            <sz val="9"/>
            <color indexed="81"/>
            <rFont val="Tahoma"/>
            <family val="2"/>
            <charset val="204"/>
          </rPr>
          <t xml:space="preserve">Куть-Ях 206,55
</t>
        </r>
        <r>
          <rPr>
            <sz val="9"/>
            <color indexed="81"/>
            <rFont val="Tahoma"/>
            <family val="2"/>
            <charset val="204"/>
          </rPr>
          <t xml:space="preserve">1) библ фонд 150,00
2) бокс компьютерный 20,00
3) Шкаф для одежды 11,55
4) Стол прямой 25,00
</t>
        </r>
        <r>
          <rPr>
            <b/>
            <sz val="9"/>
            <color indexed="81"/>
            <rFont val="Tahoma"/>
            <family val="2"/>
            <charset val="204"/>
          </rPr>
          <t xml:space="preserve">У-Юган 469,10
</t>
        </r>
        <r>
          <rPr>
            <sz val="9"/>
            <color indexed="81"/>
            <rFont val="Tahoma"/>
            <family val="2"/>
            <charset val="204"/>
          </rPr>
          <t xml:space="preserve">1) Библ фонд 160,00
2) Шкаф для докуменетов 13,00
3) Мобьный стол трансформер 90,00
4) Штатив с креплением 9,6
5) Моноблок 120,00
6) Ноутбук 60,00
7) Флипчарт 12,00
8) Ламинатор 4,5
</t>
        </r>
        <r>
          <rPr>
            <b/>
            <sz val="9"/>
            <color indexed="81"/>
            <rFont val="Tahoma"/>
            <family val="2"/>
            <charset val="204"/>
          </rPr>
          <t>Лемпино  193,00</t>
        </r>
        <r>
          <rPr>
            <sz val="9"/>
            <color indexed="81"/>
            <rFont val="Tahoma"/>
            <family val="2"/>
            <charset val="204"/>
          </rPr>
          <t xml:space="preserve">
библ фонд 100,00    
шкаф пенал со стеклом 13,00
Мобильные столы 6 шт 80,00
</t>
        </r>
        <r>
          <rPr>
            <b/>
            <sz val="9"/>
            <color indexed="81"/>
            <rFont val="Tahoma"/>
            <family val="2"/>
            <charset val="204"/>
          </rPr>
          <t>Какатеевы 197,00</t>
        </r>
        <r>
          <rPr>
            <sz val="9"/>
            <color indexed="81"/>
            <rFont val="Tahoma"/>
            <family val="2"/>
            <charset val="204"/>
          </rPr>
          <t xml:space="preserve">
Ноутбук 60,00
Штатиф 5,0
Флипчарт 12,00
</t>
        </r>
        <r>
          <rPr>
            <b/>
            <sz val="9"/>
            <color indexed="81"/>
            <rFont val="Tahoma"/>
            <family val="2"/>
            <charset val="204"/>
          </rPr>
          <t xml:space="preserve">Сентябрьский 172,00
</t>
        </r>
        <r>
          <rPr>
            <sz val="9"/>
            <color indexed="81"/>
            <rFont val="Tahoma"/>
            <family val="2"/>
            <charset val="204"/>
          </rPr>
          <t xml:space="preserve">библ фонд 100,00
Деза 72,00
</t>
        </r>
        <r>
          <rPr>
            <b/>
            <sz val="9"/>
            <color indexed="81"/>
            <rFont val="Tahoma"/>
            <family val="2"/>
            <charset val="204"/>
          </rPr>
          <t xml:space="preserve">Сингапай 551,50
</t>
        </r>
        <r>
          <rPr>
            <sz val="9"/>
            <color indexed="81"/>
            <rFont val="Tahoma"/>
            <family val="2"/>
            <charset val="204"/>
          </rPr>
          <t>Библ фонд 200,00
Пылесос 10,00
Кафедра для книг 50,00
Пуфик 15,00
Нутбук 120,00
Цифровая видекамера 60,00
Штатиф для камеры 1,5
Видепроектор 50,00
Экран с потолочным кремплением 20,00
Диван 25,00</t>
        </r>
        <r>
          <rPr>
            <b/>
            <sz val="9"/>
            <color indexed="81"/>
            <rFont val="Tahoma"/>
            <family val="2"/>
            <charset val="204"/>
          </rPr>
          <t xml:space="preserve">
Дома культуры 6 503 ,42
салым 2 2254,02 </t>
        </r>
        <r>
          <rPr>
            <sz val="9"/>
            <color indexed="81"/>
            <rFont val="Tahoma"/>
            <family val="2"/>
            <charset val="204"/>
          </rPr>
          <t xml:space="preserve">( генератор бесперебойного питания 150,00 Звуковой оборудование 2 074,017)
</t>
        </r>
        <r>
          <rPr>
            <b/>
            <sz val="9"/>
            <color indexed="81"/>
            <rFont val="Tahoma"/>
            <family val="2"/>
            <charset val="204"/>
          </rPr>
          <t xml:space="preserve">К-Ях - 62,0 </t>
        </r>
        <r>
          <rPr>
            <sz val="9"/>
            <color indexed="81"/>
            <rFont val="Tahoma"/>
            <family val="2"/>
            <charset val="204"/>
          </rPr>
          <t xml:space="preserve">(системный блок 50,00,                             ламинатор 12,00)
</t>
        </r>
        <r>
          <rPr>
            <b/>
            <sz val="9"/>
            <color indexed="81"/>
            <rFont val="Tahoma"/>
            <family val="2"/>
            <charset val="204"/>
          </rPr>
          <t>У-Юган - 40,00 (</t>
        </r>
        <r>
          <rPr>
            <sz val="9"/>
            <color indexed="81"/>
            <rFont val="Tahoma"/>
            <family val="2"/>
            <charset val="204"/>
          </rPr>
          <t>бензиновый генератор</t>
        </r>
        <r>
          <rPr>
            <b/>
            <sz val="9"/>
            <color indexed="81"/>
            <rFont val="Tahoma"/>
            <family val="2"/>
            <charset val="204"/>
          </rPr>
          <t>)</t>
        </r>
        <r>
          <rPr>
            <sz val="9"/>
            <color indexed="81"/>
            <rFont val="Tahoma"/>
            <family val="2"/>
            <charset val="204"/>
          </rPr>
          <t xml:space="preserve">
</t>
        </r>
        <r>
          <rPr>
            <b/>
            <sz val="9"/>
            <color indexed="81"/>
            <rFont val="Tahoma"/>
            <family val="2"/>
            <charset val="204"/>
          </rPr>
          <t>Каркатеевы - 2 167,65</t>
        </r>
        <r>
          <rPr>
            <sz val="9"/>
            <color indexed="81"/>
            <rFont val="Tahoma"/>
            <family val="2"/>
            <charset val="204"/>
          </rPr>
          <t xml:space="preserve"> (Звуковое оборудование  1732,654 в т.ч:
1) Студийный микрофон 68,635
2) Акустический паролон 61,32
3)Ноутбук 163,129
4) Звуковаяф карта 20,364
5) Радиосистема 1021,028
6) Акустический процессор, кроссовер  109,811
7) Моноблок  206,8
8) Аудиоинтерфрейс 81,554
9) Сценические костюмы 300,00
10) Обувь для танцен 135,00
11) Кулер для воды 13,00</t>
        </r>
        <r>
          <rPr>
            <b/>
            <sz val="9"/>
            <color indexed="81"/>
            <rFont val="Tahoma"/>
            <family val="2"/>
            <charset val="204"/>
          </rPr>
          <t xml:space="preserve">
Сентябрьский 1939,75 
</t>
        </r>
        <r>
          <rPr>
            <sz val="9"/>
            <color indexed="81"/>
            <rFont val="Tahoma"/>
            <family val="2"/>
            <charset val="204"/>
          </rPr>
          <t>Сценические костюмы 200,00
Куллер для воды 13,00
Дезары 40,00
Системный блок 30,00
Швейное оборудование 146,97
Звуковое оборудование 1 522,780</t>
        </r>
        <r>
          <rPr>
            <b/>
            <sz val="9"/>
            <color indexed="81"/>
            <rFont val="Tahoma"/>
            <family val="2"/>
            <charset val="204"/>
          </rPr>
          <t xml:space="preserve">
Сингапай 70,0 </t>
        </r>
        <r>
          <rPr>
            <sz val="9"/>
            <color indexed="81"/>
            <rFont val="Tahoma"/>
            <family val="2"/>
            <charset val="204"/>
          </rPr>
          <t xml:space="preserve">(Костюмы)
</t>
        </r>
        <r>
          <rPr>
            <b/>
            <sz val="9"/>
            <color indexed="81"/>
            <rFont val="Tahoma"/>
            <family val="2"/>
            <charset val="204"/>
          </rPr>
          <t xml:space="preserve">
</t>
        </r>
        <r>
          <rPr>
            <sz val="9"/>
            <color indexed="81"/>
            <rFont val="Tahoma"/>
            <family val="2"/>
            <charset val="204"/>
          </rPr>
          <t xml:space="preserve">
 </t>
        </r>
      </text>
    </comment>
    <comment ref="I54" authorId="0" shapeId="0" xr:uid="{00000000-0006-0000-0900-000005000000}">
      <text>
        <r>
          <rPr>
            <sz val="9"/>
            <color indexed="81"/>
            <rFont val="Tahoma"/>
            <family val="2"/>
            <charset val="204"/>
          </rPr>
          <t xml:space="preserve">
Увеличение: Зачисление остатков прошлого года 264 161,92695;
Уменьшение 20 803,12766 в бюджет
</t>
        </r>
      </text>
    </comment>
    <comment ref="I57" authorId="0" shapeId="0" xr:uid="{00000000-0006-0000-0900-000006000000}">
      <text>
        <r>
          <rPr>
            <b/>
            <sz val="9"/>
            <color indexed="81"/>
            <rFont val="Tahoma"/>
            <family val="2"/>
            <charset val="204"/>
          </rPr>
          <t>Строительство КОК</t>
        </r>
        <r>
          <rPr>
            <sz val="9"/>
            <color indexed="81"/>
            <rFont val="Tahoma"/>
            <family val="2"/>
            <charset val="204"/>
          </rPr>
          <t xml:space="preserve">
уменьшение на сумму остатков прошлого года</t>
        </r>
      </text>
    </comment>
    <comment ref="I93" authorId="0" shapeId="0" xr:uid="{00000000-0006-0000-0900-000007000000}">
      <text>
        <r>
          <rPr>
            <b/>
            <sz val="9"/>
            <color indexed="81"/>
            <rFont val="Tahoma"/>
            <family val="2"/>
            <charset val="204"/>
          </rPr>
          <t>уменьшение  ИИ в связи с поступлением дотаций и наличием остатков прошлого года</t>
        </r>
        <r>
          <rPr>
            <sz val="9"/>
            <color indexed="81"/>
            <rFont val="Tahoma"/>
            <family val="2"/>
            <charset val="204"/>
          </rPr>
          <t xml:space="preserve">
</t>
        </r>
      </text>
    </comment>
    <comment ref="I103" authorId="0" shapeId="0" xr:uid="{00000000-0006-0000-0900-000008000000}">
      <text>
        <r>
          <rPr>
            <b/>
            <sz val="9"/>
            <color indexed="81"/>
            <rFont val="Tahoma"/>
            <family val="2"/>
            <charset val="204"/>
          </rPr>
          <t>увеличение 149,5 наказы</t>
        </r>
        <r>
          <rPr>
            <sz val="9"/>
            <color indexed="81"/>
            <rFont val="Tahoma"/>
            <family val="2"/>
            <charset val="204"/>
          </rPr>
          <t xml:space="preserve">
</t>
        </r>
      </text>
    </comment>
    <comment ref="I104" authorId="0" shapeId="0" xr:uid="{00000000-0006-0000-0900-000009000000}">
      <text>
        <r>
          <rPr>
            <b/>
            <sz val="9"/>
            <color indexed="81"/>
            <rFont val="Tahoma"/>
            <family val="2"/>
            <charset val="204"/>
          </rPr>
          <t>увеличение:
с.п.салым 4 286,62937
дотации 1925,13712
из МП Спорт 5 000,00</t>
        </r>
        <r>
          <rPr>
            <sz val="9"/>
            <color indexed="81"/>
            <rFont val="Tahoma"/>
            <family val="2"/>
            <charset val="204"/>
          </rPr>
          <t xml:space="preserve">
</t>
        </r>
        <r>
          <rPr>
            <b/>
            <sz val="9"/>
            <color indexed="81"/>
            <rFont val="Tahoma"/>
            <family val="2"/>
            <charset val="204"/>
          </rPr>
          <t>дотации 6 039,04758
уменьшение - 1252,51358 распределено в исполнение Родникам
Предстоит умегьшение на сумму  4 786,53400 передадим в бюджет (дотации для поселений)</t>
        </r>
      </text>
    </comment>
    <comment ref="I107" authorId="0" shapeId="0" xr:uid="{00000000-0006-0000-0900-00000A000000}">
      <text>
        <r>
          <rPr>
            <b/>
            <sz val="9"/>
            <color indexed="81"/>
            <rFont val="Tahoma"/>
            <family val="2"/>
            <charset val="204"/>
          </rPr>
          <t>Уменьшение ИИ в связи с поступлением трасфертов с.п. Салым
и уточнение плана мероприятий
Мун задание ТО Культура
Мероприятия: 21 400,000 (план мероприятий уточнено)
Полномочия поселений 10 087,661 (уменьшение с.п.Салым)</t>
        </r>
        <r>
          <rPr>
            <sz val="9"/>
            <color indexed="81"/>
            <rFont val="Tahoma"/>
            <family val="2"/>
            <charset val="204"/>
          </rPr>
          <t xml:space="preserve">
</t>
        </r>
      </text>
    </comment>
    <comment ref="I111" authorId="0" shapeId="0" xr:uid="{00000000-0006-0000-0900-00000B000000}">
      <text>
        <r>
          <rPr>
            <b/>
            <sz val="9"/>
            <color indexed="81"/>
            <rFont val="Tahoma"/>
            <family val="2"/>
            <charset val="204"/>
          </rPr>
          <t>увеличение + 1005,51683 салым</t>
        </r>
        <r>
          <rPr>
            <sz val="9"/>
            <color indexed="81"/>
            <rFont val="Tahoma"/>
            <family val="2"/>
            <charset val="204"/>
          </rPr>
          <t xml:space="preserve">
</t>
        </r>
      </text>
    </comment>
    <comment ref="I114" authorId="0" shapeId="0" xr:uid="{00000000-0006-0000-0900-00000C000000}">
      <text>
        <r>
          <rPr>
            <b/>
            <sz val="9"/>
            <color indexed="81"/>
            <rFont val="Tahoma"/>
            <family val="2"/>
            <charset val="204"/>
          </rPr>
          <t>полномочия поселений
уменьешение с.п.салым</t>
        </r>
        <r>
          <rPr>
            <sz val="9"/>
            <color indexed="81"/>
            <rFont val="Tahoma"/>
            <family val="2"/>
            <charset val="204"/>
          </rPr>
          <t xml:space="preserve">
</t>
        </r>
      </text>
    </comment>
    <comment ref="I124" authorId="0" shapeId="0" xr:uid="{00000000-0006-0000-0900-00000D000000}">
      <text>
        <r>
          <rPr>
            <b/>
            <sz val="9"/>
            <color indexed="81"/>
            <rFont val="Tahoma"/>
            <family val="2"/>
            <charset val="204"/>
          </rPr>
          <t>увеличение наказы избирателей</t>
        </r>
        <r>
          <rPr>
            <sz val="9"/>
            <color indexed="81"/>
            <rFont val="Tahoma"/>
            <family val="2"/>
            <charset val="204"/>
          </rPr>
          <t xml:space="preserve">
</t>
        </r>
      </text>
    </comment>
    <comment ref="I125" authorId="0" shapeId="0" xr:uid="{00000000-0006-0000-0900-00000E000000}">
      <text>
        <r>
          <rPr>
            <b/>
            <sz val="9"/>
            <color indexed="81"/>
            <rFont val="Tahoma"/>
            <family val="2"/>
            <charset val="204"/>
          </rPr>
          <t xml:space="preserve">Дотации + 1252,5180
</t>
        </r>
        <r>
          <rPr>
            <sz val="9"/>
            <color indexed="81"/>
            <rFont val="Tahoma"/>
            <family val="2"/>
            <charset val="204"/>
          </rPr>
          <t xml:space="preserve">
</t>
        </r>
      </text>
    </comment>
    <comment ref="I135" authorId="0" shapeId="0" xr:uid="{00000000-0006-0000-0900-00000F000000}">
      <text>
        <r>
          <rPr>
            <b/>
            <sz val="9"/>
            <color indexed="81"/>
            <rFont val="Tahoma"/>
            <family val="2"/>
            <charset val="204"/>
          </rPr>
          <t>умегньшение в связи с дефицитом бюджета</t>
        </r>
        <r>
          <rPr>
            <sz val="9"/>
            <color indexed="81"/>
            <rFont val="Tahoma"/>
            <family val="2"/>
            <charset val="204"/>
          </rPr>
          <t xml:space="preserve">
</t>
        </r>
      </text>
    </comment>
    <comment ref="I149" authorId="0" shapeId="0" xr:uid="{00000000-0006-0000-0900-000010000000}">
      <text>
        <r>
          <rPr>
            <b/>
            <sz val="9"/>
            <color indexed="81"/>
            <rFont val="Tahoma"/>
            <family val="2"/>
            <charset val="204"/>
          </rPr>
          <t xml:space="preserve">мун задание библиотеки
Полномочия поселений                                   2 097,78399 - 775,48751= 1322,297
</t>
        </r>
        <r>
          <rPr>
            <sz val="9"/>
            <color indexed="81"/>
            <rFont val="Tahoma"/>
            <family val="2"/>
            <charset val="204"/>
          </rPr>
          <t xml:space="preserve">
</t>
        </r>
      </text>
    </comment>
    <comment ref="J149" authorId="0" shapeId="0" xr:uid="{00000000-0006-0000-0900-000011000000}">
      <text>
        <r>
          <rPr>
            <b/>
            <sz val="9"/>
            <color indexed="81"/>
            <rFont val="Tahoma"/>
            <family val="2"/>
            <charset val="204"/>
          </rPr>
          <t>103,3%</t>
        </r>
        <r>
          <rPr>
            <sz val="9"/>
            <color indexed="81"/>
            <rFont val="Tahoma"/>
            <family val="2"/>
            <charset val="204"/>
          </rPr>
          <t xml:space="preserve">
</t>
        </r>
      </text>
    </comment>
    <comment ref="P149" authorId="0" shapeId="0" xr:uid="{00000000-0006-0000-0900-000012000000}">
      <text>
        <r>
          <rPr>
            <b/>
            <sz val="9"/>
            <color indexed="81"/>
            <rFont val="Tahoma"/>
            <family val="2"/>
            <charset val="204"/>
          </rPr>
          <t xml:space="preserve">БЫЛО: мун задание библиотеки
Местный бюджет 1 952,95650
Дефицит по Оплата труда  1 832,95650  в тч специалистам поселений 40% 667,4
транспортные расходы 120,00
Полномочия поселений                                   2 097,78399
Библиотеки 
МКУ тех персонал </t>
        </r>
        <r>
          <rPr>
            <sz val="9"/>
            <color indexed="81"/>
            <rFont val="Tahoma"/>
            <family val="2"/>
            <charset val="204"/>
          </rPr>
          <t xml:space="preserve">
</t>
        </r>
      </text>
    </comment>
    <comment ref="I156" authorId="0" shapeId="0" xr:uid="{00000000-0006-0000-0900-000013000000}">
      <text>
        <r>
          <rPr>
            <b/>
            <sz val="9"/>
            <color indexed="81"/>
            <rFont val="Tahoma"/>
            <family val="2"/>
            <charset val="204"/>
          </rPr>
          <t>Поселения: МКУ тех персонал</t>
        </r>
        <r>
          <rPr>
            <sz val="9"/>
            <color indexed="81"/>
            <rFont val="Tahoma"/>
            <family val="2"/>
            <charset val="204"/>
          </rPr>
          <t xml:space="preserve">
</t>
        </r>
      </text>
    </comment>
    <comment ref="I185" authorId="0" shapeId="0" xr:uid="{00000000-0006-0000-0900-000014000000}">
      <text>
        <r>
          <rPr>
            <b/>
            <sz val="9"/>
            <color indexed="81"/>
            <rFont val="Tahoma"/>
            <family val="2"/>
            <charset val="204"/>
          </rPr>
          <t>1) Оплата труда + налоги = 755428,11</t>
        </r>
        <r>
          <rPr>
            <sz val="9"/>
            <color indexed="81"/>
            <rFont val="Tahoma"/>
            <family val="2"/>
            <charset val="204"/>
          </rPr>
          <t xml:space="preserve">
</t>
        </r>
        <r>
          <rPr>
            <b/>
            <sz val="9"/>
            <color indexed="81"/>
            <rFont val="Tahoma"/>
            <family val="2"/>
            <charset val="204"/>
          </rPr>
          <t>2) выплата на оздоровление + антивирусник = 163 350,00
3) командировочные+подписка Консультант+ = 100 844,460</t>
        </r>
      </text>
    </comment>
    <comment ref="I189" authorId="0" shapeId="0" xr:uid="{00000000-0006-0000-0900-000015000000}">
      <text>
        <r>
          <rPr>
            <b/>
            <sz val="9"/>
            <color indexed="81"/>
            <rFont val="Tahoma"/>
            <family val="2"/>
            <charset val="204"/>
          </rPr>
          <t xml:space="preserve">увеличение + 600,35942 дотации
</t>
        </r>
        <r>
          <rPr>
            <sz val="9"/>
            <color indexed="81"/>
            <rFont val="Tahoma"/>
            <family val="2"/>
            <charset val="204"/>
          </rPr>
          <t xml:space="preserve">
</t>
        </r>
      </text>
    </comment>
  </commentList>
</comments>
</file>

<file path=xl/sharedStrings.xml><?xml version="1.0" encoding="utf-8"?>
<sst xmlns="http://schemas.openxmlformats.org/spreadsheetml/2006/main" count="1538" uniqueCount="397">
  <si>
    <t>Муниципальная программа</t>
  </si>
  <si>
    <t>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</si>
  <si>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1. Совершенствование и формирование современного имущественного комплекса учреждений и организаций культуры.</t>
  </si>
  <si>
    <t xml:space="preserve">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 </t>
  </si>
  <si>
    <t>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</si>
  <si>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 п/п</t>
  </si>
  <si>
    <t>Значение показателя по годам</t>
  </si>
  <si>
    <t>Число посещений культурных мероприятий, тыс. единиц</t>
  </si>
  <si>
    <t>Департамент культуры и спорта Нефтеюганского района</t>
  </si>
  <si>
    <t>Источники финансирования</t>
  </si>
  <si>
    <t>Расходы по годам (тыс. рублей)</t>
  </si>
  <si>
    <t>Всего</t>
  </si>
  <si>
    <t>всего</t>
  </si>
  <si>
    <t>федеральный бюджет</t>
  </si>
  <si>
    <t>бюджет автономного округа</t>
  </si>
  <si>
    <t>местный бюджет</t>
  </si>
  <si>
    <t>средства по Соглашениям по передаче полномочий</t>
  </si>
  <si>
    <t>средства поселений</t>
  </si>
  <si>
    <t>иные источники</t>
  </si>
  <si>
    <t>&lt;*&gt; указывается при наличии</t>
  </si>
  <si>
    <t>&lt;1&gt; - указывается наименование муниципальной программы;</t>
  </si>
  <si>
    <t>&lt;2&gt; - сроки реализации муниципальной программы отражаются в формате «20__-20__гоы и на период до 20___года» начиная с 2022 года, либо с года начала реализации муниципальной программы (для новых муниципальных программ);</t>
  </si>
  <si>
    <t>&lt;3&gt; - указывается тип муниципальной программы;</t>
  </si>
  <si>
    <t>&lt;4&gt; - указывается куратор муниципальной программы;</t>
  </si>
  <si>
    <t>&lt;5&gt;- указывается исполнительный орган местного самоуправления Нефтеюганского района, определенный ответственным за реализацию муниципальной программы;</t>
  </si>
  <si>
    <t>&lt;6&gt; - указывается перечень исполнительных органов местного самоуправления Нефтеюганского района, участвующих в разработке и реализации отдельных структурных элементов (основных мероприятий) муниципальной программы (подпрограммы);</t>
  </si>
  <si>
    <t>&lt;7&gt; - строка отражается в случае, если муниципальная программа направлена на достижение национальной цели в соответствии с Указами Президента Российской Федерации от 07.05.2018 № 204 «О национальных целях и стратегических задачах развития Российской Федерации на период до 2024 года», от 21.07.2020 № 474 «О национальных целях развития Российской Федерации на период до 2030 года;</t>
  </si>
  <si>
    <t>&lt;8&gt; - указываются цели, задачи и подпрограммы муниципальной программы;</t>
  </si>
  <si>
    <t>При формировании целей муниципальной программы учитываются цели национальных проектов, соответствующие сфере реализации муниципальной программы;</t>
  </si>
  <si>
    <t>&lt;9&gt; - указываются целевые показатели муниципальной программы, в том числе:</t>
  </si>
  <si>
    <t>&lt;9.1&gt; - наименование целевого показателя, приводится единица его измерения (через запятую);</t>
  </si>
  <si>
    <t>&lt;9.2&gt; - ссылка на форму федерального статистического наблюдения, нормативно правовой либо распорядительный акт, в соответствие с которым установлен данный показатель;</t>
  </si>
  <si>
    <t>&lt;9.3&gt; - отражаются значения показателя на год разработки проекта муниципальной программы, либо на год, предшествующий ее разработке, ( в случае отсутствия данных на год разработки), либо доведенные до Нефтеюганского района базовые значения в соответствии с нормативными правовыми актами Российской Федерации и иными документами;</t>
  </si>
  <si>
    <t xml:space="preserve"> &lt;9.4&gt; - заполняется в зависимости от значений показателя по годам реализации муниципальной программы: если значения по годам заполнялись «на отчетную дату», либо «нарастающим итогом», то целевое значение показателя равняется значению показателя в последний год  реализации муниципальной программы, если «за отчетный год» - то равняется сумме значений показателя за все годы реализации муниципальной программы; </t>
  </si>
  <si>
    <t>&lt;9.5.&gt; - указывается исполнительный орган местного самоуправления Нефтеюганского района ответственный за достижение значения целевого показателей;</t>
  </si>
  <si>
    <t>&lt;9.6&gt; - под «*» отражаются показатели, характеризующие социально-экономическое развитие и не являющиеся специфичными для конкретной муниципальной программы (например. «Индекс физического объема инвестиций в основной капитал», «Валовый региональный продукт на душу населения», «Уровень бедности»).</t>
  </si>
  <si>
    <t>В число показателей муниципальных программ включаются:</t>
  </si>
  <si>
    <t>показатели, характеризующие достижение национальных целей;</t>
  </si>
  <si>
    <t>показатели приоритетов социально-экономического развития муниципального образования Нефтеюганский район, определяемые в документах стратегического планирования и указах Президенты Российской Федерации;</t>
  </si>
  <si>
    <t>показатели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утвержденные Указом Президента Российской Федерации от 04.02.2021 № 68.</t>
  </si>
  <si>
    <t>Показатели региональных проектов, входящих в состав федеральных и (или) национальных проектов, должны соответствовать требованиям, установленным с постановлением N 1288, региональный проект и постановлением 2126-па проекты Нефтеюганского района.</t>
  </si>
  <si>
    <t xml:space="preserve">Количество используемых целевых показателей муниципальной программы должно быть минимально и в то же время достаточно для отражения достижения цели и решения задач муниципальной программы.  </t>
  </si>
  <si>
    <t>Показатели муниципальной программы должны удовлетворять одному из следующих условий:</t>
  </si>
  <si>
    <t>их целевые значения определяются на основе данных федерального статистического наблюдения;</t>
  </si>
  <si>
    <t>их целевые значения рассчитываются по методикам, утвержденным в том числе федеральными органами исполнительной власти;</t>
  </si>
  <si>
    <t>их целевые значения рассчитываются по методикам, утвержденным ответственными исполнителями муниципальных программ, соисполнителями муниципальных программ.</t>
  </si>
  <si>
    <t xml:space="preserve">&lt;10&gt; - указывается общий объем финансирования и в разрезе по годам в соответствии с решением о бюджете Нефтеюганского района. </t>
  </si>
  <si>
    <t>&lt;11&gt; - финансирование указывается в целом по портфелю проектов и в разрезе региональных проектов;</t>
  </si>
  <si>
    <t xml:space="preserve">&lt;12&gt; - указывается общий объем налоговых расходов в разрезе по годам. </t>
  </si>
  <si>
    <t>Таблица 8</t>
  </si>
  <si>
    <t>Показатели, характеризующие эффективность структурного элемента (основного мероприятия) муниципальной программы</t>
  </si>
  <si>
    <t xml:space="preserve"> № </t>
  </si>
  <si>
    <t>Базовый показатель на начало реализации муниципальной программы</t>
  </si>
  <si>
    <t>Целевое значение показателя на момент окончания действия муниципальной программы</t>
  </si>
  <si>
    <t xml:space="preserve"> </t>
  </si>
  <si>
    <t>2023 г.</t>
  </si>
  <si>
    <t>2024 г.</t>
  </si>
  <si>
    <t>Таблица 6</t>
  </si>
  <si>
    <t>Наименование инвестиционного проекта</t>
  </si>
  <si>
    <t>Эффект от реализации инвестиционного проекта (налоговые поступления, количество создаваемых мест в детских дошкольных учреждениях и т.п.)</t>
  </si>
  <si>
    <t>Объем финансирования инвестиционного проекта, (тыс. рублей)</t>
  </si>
  <si>
    <t>Перечень
объектов социально-культурного и коммунально-бытового назначения, масштабных инвестиционных проектов (далее- инвестиционные проекты)</t>
  </si>
  <si>
    <t>Таблица 5</t>
  </si>
  <si>
    <t xml:space="preserve">Перечень объектов капитального строительства </t>
  </si>
  <si>
    <t>Наименование объекта (инвестиционного проекта)</t>
  </si>
  <si>
    <t>Показатель мощности</t>
  </si>
  <si>
    <t xml:space="preserve">Срок строительства (приобретения)  </t>
  </si>
  <si>
    <t>Механизм реализации (источник финансирования)</t>
  </si>
  <si>
    <t>Наименование целевого показателя</t>
  </si>
  <si>
    <t>Мощность</t>
  </si>
  <si>
    <t>Таблица 4</t>
  </si>
  <si>
    <t xml:space="preserve">№ </t>
  </si>
  <si>
    <t xml:space="preserve">Наименование объекта </t>
  </si>
  <si>
    <t>Срок строительства, проектирования (характер работ)</t>
  </si>
  <si>
    <t>Источник финансирования</t>
  </si>
  <si>
    <t>Механизм реализации</t>
  </si>
  <si>
    <t>Заказчик по строительству (приобретению)</t>
  </si>
  <si>
    <t>в том числе</t>
  </si>
  <si>
    <t>Таблица 3</t>
  </si>
  <si>
    <t>Перечень структурных элементов (основных мероприятий) муниципальной программы</t>
  </si>
  <si>
    <t xml:space="preserve"> № структурного элемента (основного мероприятия)</t>
  </si>
  <si>
    <t>Наименование структурного элемента (основного мероприятия)</t>
  </si>
  <si>
    <t>Направления расходов структурного элемента (основного мероприятия)</t>
  </si>
  <si>
    <t>1.1.</t>
  </si>
  <si>
    <t>Таблица 2</t>
  </si>
  <si>
    <t xml:space="preserve">Распределение финансовых ресурсов муниципальной программы </t>
  </si>
  <si>
    <r>
      <t xml:space="preserve">Структурный элемент (основное мероприятие) муниципальной программы </t>
    </r>
    <r>
      <rPr>
        <sz val="11"/>
        <color theme="1"/>
        <rFont val="Times New Roman"/>
        <family val="1"/>
        <charset val="204"/>
      </rPr>
      <t>&lt;1&gt; &lt;*&gt;</t>
    </r>
  </si>
  <si>
    <r>
      <t xml:space="preserve">Ответственный исполнитель / соисполнитель </t>
    </r>
    <r>
      <rPr>
        <sz val="11"/>
        <color theme="1"/>
        <rFont val="Times New Roman"/>
        <family val="1"/>
        <charset val="204"/>
      </rPr>
      <t>&lt;2&gt;</t>
    </r>
  </si>
  <si>
    <r>
      <t xml:space="preserve">Финансовые затраты на реализацию (тыс.  рублей) </t>
    </r>
    <r>
      <rPr>
        <sz val="11"/>
        <color theme="1"/>
        <rFont val="Times New Roman"/>
        <family val="1"/>
        <charset val="204"/>
      </rPr>
      <t>&lt;3&gt;</t>
    </r>
    <r>
      <rPr>
        <sz val="11"/>
        <color rgb="FF000000"/>
        <rFont val="Times New Roman"/>
        <family val="1"/>
        <charset val="204"/>
      </rPr>
      <t xml:space="preserve"> </t>
    </r>
  </si>
  <si>
    <t>средства по Соглашениям по передаче полномочий * *</t>
  </si>
  <si>
    <t>средства поселений ***</t>
  </si>
  <si>
    <t>средства по Соглашениям по передаче полномочий **</t>
  </si>
  <si>
    <t>Итого по подпрограмме I</t>
  </si>
  <si>
    <t>Всего по муниципальной программе</t>
  </si>
  <si>
    <t>в том числе:</t>
  </si>
  <si>
    <t>Проектная часть</t>
  </si>
  <si>
    <t>Процессная часть</t>
  </si>
  <si>
    <t>Инвестиции в объекты муниципальной собственности</t>
  </si>
  <si>
    <t>Прочие расходы</t>
  </si>
  <si>
    <t>средства поселений***</t>
  </si>
  <si>
    <t>&lt;*&gt; В таблице указываются все региональные проекты в том числе без финансирования.</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</si>
  <si>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 - средства по Соглашениям по передаче полномочий)  -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</si>
  <si>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&lt;2&gt; - указывается наименование исполнительного органа минимальной власти Нефтеюганского района ответственного за реализацию структурного элемента (основного мероприятия);</t>
  </si>
  <si>
    <t>&lt;3&gt; - объемы финансирования каждого структурного элемента (основного мероприятия) распределяются по источникам финансирования.</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</si>
  <si>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</si>
  <si>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&lt;1&gt;- указываются структурные элементы (основные мероприятия). Наименование региональных проектов и проектов муниципального образования в соответствии с их паспортами;</t>
  </si>
  <si>
    <t>Таблица 7</t>
  </si>
  <si>
    <t xml:space="preserve">№ п/п </t>
  </si>
  <si>
    <t xml:space="preserve">Наименование концессионного соглашения </t>
  </si>
  <si>
    <t>Реквизиты решения Правительства автономного округа о заключении соглашения</t>
  </si>
  <si>
    <t>Срок реализации</t>
  </si>
  <si>
    <t>Сведения о прогнозных условных и без условных обязательств, возникающих при исполнении концессионного соглашения</t>
  </si>
  <si>
    <t>Объем безусловных обязательств</t>
  </si>
  <si>
    <t xml:space="preserve">Объем условных обязательств </t>
  </si>
  <si>
    <t>2022 год</t>
  </si>
  <si>
    <t>2023 год</t>
  </si>
  <si>
    <t>2024 год</t>
  </si>
  <si>
    <t>2025-2030 годы</t>
  </si>
  <si>
    <t>2.1.</t>
  </si>
  <si>
    <t>2.2.</t>
  </si>
  <si>
    <t>Департамент культуры и спорта Нефтеюганского района / МКУ "Управление по обеспечению деятельности учреждений культуры и спорта"</t>
  </si>
  <si>
    <t>2.3.</t>
  </si>
  <si>
    <t>2.4.</t>
  </si>
  <si>
    <t>2.5.</t>
  </si>
  <si>
    <t>Итого по подпрограмме II</t>
  </si>
  <si>
    <t xml:space="preserve">Департамент культуры и спорта Нефтеюганского района </t>
  </si>
  <si>
    <t>3.1.</t>
  </si>
  <si>
    <t>3.2.</t>
  </si>
  <si>
    <t>Итого по подпрограмме III</t>
  </si>
  <si>
    <t>1.2.</t>
  </si>
  <si>
    <t>Департамент культуры и спорта Нефтеюганского района / БУНР "Межпоселенческая библиотека"</t>
  </si>
  <si>
    <t>Департамент культуры и спорта Нефтеюганского района / НРМБУ ДО "ДМШ", НРМБУ ДО "ДШИ" им. Г.С.Райшева</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</si>
  <si>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t>
  </si>
  <si>
    <t>Количество организаций культуры, получивших современное оборудование (переоснащены муниципальные библиотеки по модельному стандарту), единиц</t>
  </si>
  <si>
    <t>ДКиС НР/ БУНР "Межпоселенческая библиотека"</t>
  </si>
  <si>
    <t>ДКиС НР/ НРМБУ ДО "ДМШ", НРМБУ ДО "ДШИ" им. Г.С.Райшева</t>
  </si>
  <si>
    <t>ДКиС НР/  НРБУ ТО "Культура", БУНР "Межпоселенческая библиотека",  НРМБУ ДО "ДМШ", НРМБУ ДО "ДШИ" им. Г.С.Райшева</t>
  </si>
  <si>
    <t>Количество организаций культуры, получивших современное оборудование (оснащены образовательные учреждения в сфере культуры (детские школы искусств по видам искусств) музыкальными инструментами, оборудованием и учебными материалами), нарстающим итогом</t>
  </si>
  <si>
    <t>2019 год</t>
  </si>
  <si>
    <t>2020 год</t>
  </si>
  <si>
    <t>2021 год</t>
  </si>
  <si>
    <t>местный бюджет****</t>
  </si>
  <si>
    <t>МКУ "Управление по делам администрации Нефтеюганского района"</t>
  </si>
  <si>
    <t>Департамент финансов Нефтеюганского района/  Администрация городского поселения Пойковский</t>
  </si>
  <si>
    <t>Ответственный исполнитель (Департамент культуры и спорта Нефтеюганского района)</t>
  </si>
  <si>
    <t>Соисполнитель 4 (Департамент финансов Нефтеюганского района/  Администрация городского поселения Пойковский)</t>
  </si>
  <si>
    <t>Подпрограмма III «Совершенствование системы управления в сфере культуры»</t>
  </si>
  <si>
    <t xml:space="preserve">Реализация мероприятий по организации деятельности поселенческих библиотек </t>
  </si>
  <si>
    <t>количество зрительских мест</t>
  </si>
  <si>
    <t>местный бюджет, иные источники</t>
  </si>
  <si>
    <t xml:space="preserve">Сельский дом культуры-библиотека в сп.Куть-Ях </t>
  </si>
  <si>
    <t xml:space="preserve">количество зрительских мест / тыс. экземпляров книг </t>
  </si>
  <si>
    <t>Указ Президента Российской Федерации от 21.07.2020 № 474 "О национальных целях развития Российской Федерации на период до 2030 года"</t>
  </si>
  <si>
    <t>Департамент культуры и спорта Нефтеюганского района /МКУ "Управление по обеспечению деятельности учреждений культуры и спорта"</t>
  </si>
  <si>
    <t>проверка</t>
  </si>
  <si>
    <t>ВСЕГО</t>
  </si>
  <si>
    <t>ОБ</t>
  </si>
  <si>
    <t>ФБ</t>
  </si>
  <si>
    <t>МБ</t>
  </si>
  <si>
    <t>Утвержденено</t>
  </si>
  <si>
    <t>Расхождения</t>
  </si>
  <si>
    <t xml:space="preserve">Основное мероприятие "Предоставление субсидий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 (п.1 таблицы 8)    </t>
  </si>
  <si>
    <t>Сумма, тыс. рублей</t>
  </si>
  <si>
    <t xml:space="preserve">Федеральный бюджет </t>
  </si>
  <si>
    <t>Бюджет Ханты-Мансийского автономного округа - Югры</t>
  </si>
  <si>
    <t>Бюджет муниципального образования Нефтеюганский район</t>
  </si>
  <si>
    <t>Иные источники</t>
  </si>
  <si>
    <t>администрации Нефтеюганского района</t>
  </si>
  <si>
    <t>Приложение к постановлению</t>
  </si>
  <si>
    <t>от _____________№  ______________</t>
  </si>
  <si>
    <t>Департамент культуры и спорта Нефтеюганского района/МКУ "Управление капитального строительства и жилищно-коммунального комплекса" ДСиЖКК НР</t>
  </si>
  <si>
    <t>Департамент культуры и спорта Нефтеюганского района/МКУ "Управление по обеспечению деятельности учреждений/ МКУ "Управление по делам администрации Нефтеюганского района"/Департамент финансов Нефтеюганского района/  Администрация городского поселения Пойковский</t>
  </si>
  <si>
    <t>1.</t>
  </si>
  <si>
    <t>2.</t>
  </si>
  <si>
    <t>Заместитель главы района Михалев Владлен Геннадьевич</t>
  </si>
  <si>
    <t>Департамент культуры и спорта Нефтеюганского района / БУ "Центр культуры Нефтеюганского района", БУНР "Межпоселенческая библиотека",  НРМБУ ДО "ДМШ", НРМБУ ДО "ДШИ" им. Г.С.Райшева</t>
  </si>
  <si>
    <t>Департамент строительства и жилищно-коммунального комплекса Нефтеюганского района /МКУ "Управление капитального строительства и жилищно-коммунального комплекса" ДСиЖКК НР</t>
  </si>
  <si>
    <t>Соисполнитель 3 (Администрация Нефтеюганского района /МКУ "Управление по делам администрации Нефтеюганского района")</t>
  </si>
  <si>
    <t>Соисполнитель 2 (Департамент строительства и жилищно-коммунального комплекса Нефтеганского района /МКУ "Управление капитального строительства и жилищно-коммунального комплекса" ДСиЖКК НР)</t>
  </si>
  <si>
    <t>Соисполнитель 1 (Департамент культуры и спорта Нефтеюганского района/ МКУ "Управление по обеспечению деятельности учреждений культуры и спорта")</t>
  </si>
  <si>
    <t>Строительство</t>
  </si>
  <si>
    <r>
      <t>Проект Нефтеюганского района «ПроНаследие" (номер показателя из паспорта (п.2 таблицы 1</t>
    </r>
    <r>
      <rPr>
        <sz val="11"/>
        <color theme="1"/>
        <rFont val="Times New Roman"/>
        <family val="1"/>
        <charset val="204"/>
      </rPr>
      <t>)</t>
    </r>
  </si>
  <si>
    <t>Основное мероприятие "Укрепление материально-технической базы учреждений культуры" (номер показателя из паспорта (п.4,5 таблицы 1)</t>
  </si>
  <si>
    <t xml:space="preserve">Основное мероприятие:  "Реализация муниципального проекта «Модернизация материально-технической базы детских школ искусств (по видам искусств) Нефтеюганского района»"  (п.4,5 таблицы 1)    </t>
  </si>
  <si>
    <r>
      <t>Региональный проект «Творческие люди»  (п.2 таблицы 1</t>
    </r>
    <r>
      <rPr>
        <sz val="11"/>
        <color theme="1"/>
        <rFont val="Times New Roman"/>
        <family val="1"/>
        <charset val="204"/>
      </rPr>
      <t>)</t>
    </r>
  </si>
  <si>
    <t>Основное мероприятие:                          "Развитие художественного образования, обеспечение функционирования  системы персонифицированного финансирования дополнительного образования детей"  (п.2,3 таблицы 1)</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</si>
  <si>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(п.2,3 таблицы 1)</t>
  </si>
  <si>
    <t xml:space="preserve">Основное мероприятие:  "Развитие библиотечного дела"  (п.1,2 таблицы 1) </t>
  </si>
  <si>
    <t>Поддержка добровольческих (волонтерских) объединений в сельской местности, в том числе по реализации социокультурных проектов (п.6 таблицы 1)</t>
  </si>
  <si>
    <t xml:space="preserve">Основное мероприятие:                      "Реализация единой региональной  (государственной) и муниципальной политики в сфере культуры"                                (п.2 таблицы 1)  </t>
  </si>
  <si>
    <t>Основное мероприятие:                      "Муниципальная поддержка одаренных детей и молодежи"                                               (п.3 таблицы 1)</t>
  </si>
  <si>
    <t>3.</t>
  </si>
  <si>
    <t xml:space="preserve">Наименование показателя </t>
  </si>
  <si>
    <t>Основное мероприятие "Региональный проект "Культурная среда" (п.2 таблицы 1)</t>
  </si>
  <si>
    <t>Департамент культуры и спорта Нефтеюганского района / БУНР "Межпоселенческая библиотека" / НРМБУ ДО "ДМШ", НРМБУ ДО "ДШИ" им. Г.С.Райшева</t>
  </si>
  <si>
    <t>иные  источники</t>
  </si>
  <si>
    <t>Департамент культуры и спорта Нефтеюганского района/</t>
  </si>
  <si>
    <t>МКУ "Управление по обеспечению деятельности учреждений культуры и спорта"</t>
  </si>
  <si>
    <t>1.3.</t>
  </si>
  <si>
    <t>Возможности для самореализации и раскрытия талантов каждого человека</t>
  </si>
  <si>
    <t xml:space="preserve">Указ Президента РФ от 21.07.2020 № 474 «О национальных целях развития Российской Федерации на период до 2030 года».
Национальный проект «Культура»
</t>
  </si>
  <si>
    <t>-</t>
  </si>
  <si>
    <t>2. Департамент строительства и жилищно-коммунального комплекса Нефтеюганского района /Муниципальное казенное учреждение «Управление капитального строительства и жилищно-коммунального комплекса Нефтеюганского района»</t>
  </si>
  <si>
    <t>3. Администрация Нефтеюганского района /Муниципальное казенное учреждение «Управление по делам администрации Нефтеюганского района»</t>
  </si>
  <si>
    <t>4. Департамент финансов Нефтеюганского района/ Администрация городского поселения Пойковский</t>
  </si>
  <si>
    <t>1. Департамент культуры и спорта Нефтеюганского района /Муниципальное казенное учреждение «Управление по обеспечению деятельности учреждений культуры и спорта»</t>
  </si>
  <si>
    <t>Подпрограмма I. Обеспечение прав граждан на доступ к объектам сферы культуры и информационным ресурсам.</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</si>
  <si>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</si>
  <si>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Подпрограмма III. Совершенствование системы управления в сфере культуры.</t>
  </si>
  <si>
    <t>Наименование муниципальной программы</t>
  </si>
  <si>
    <t xml:space="preserve">Тип муниципальной программы </t>
  </si>
  <si>
    <t xml:space="preserve">Куратор муниципальной программы </t>
  </si>
  <si>
    <t xml:space="preserve">Ответственный исполнитель муниципальной программы </t>
  </si>
  <si>
    <t>Соисполнители муниципальной программы</t>
  </si>
  <si>
    <t xml:space="preserve">Национальная цель </t>
  </si>
  <si>
    <t xml:space="preserve">Цели муниципальной программы </t>
  </si>
  <si>
    <t xml:space="preserve">Задачи муниципальной программы </t>
  </si>
  <si>
    <t xml:space="preserve">Подпрограммы </t>
  </si>
  <si>
    <t xml:space="preserve">Наименование целевого показателя </t>
  </si>
  <si>
    <t xml:space="preserve">Документ - основание </t>
  </si>
  <si>
    <t xml:space="preserve">Базовое значение </t>
  </si>
  <si>
    <t xml:space="preserve">На момент окончания реализации муниципальной программы </t>
  </si>
  <si>
    <t xml:space="preserve">Ответственный исполнитель/соисполнитель за достижение показателей </t>
  </si>
  <si>
    <t>Целевые показатели муниципальной программы</t>
  </si>
  <si>
    <t xml:space="preserve">Параметры финансового обеспечения муниципальной программы </t>
  </si>
  <si>
    <t xml:space="preserve">Объем налоговых расходов Нефтеюганского района </t>
  </si>
  <si>
    <t>Подпрограмма I «Обеспечение прав граждан на доступ к объектам сферы культуры и информационным ресурсам»</t>
  </si>
  <si>
    <r>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r>
    <r>
      <rPr>
        <b/>
        <sz val="11"/>
        <color theme="1"/>
        <rFont val="Times New Roman"/>
        <family val="1"/>
        <charset val="204"/>
      </rPr>
      <t xml:space="preserve"> </t>
    </r>
  </si>
  <si>
    <t>Сроки реализации муниципальной программы</t>
  </si>
  <si>
    <t>ПОСТАНОВЛЕНИЕ № 2372</t>
  </si>
  <si>
    <t>изменения</t>
  </si>
  <si>
    <t>пояснения</t>
  </si>
  <si>
    <t>уведомление № 37 от 27.01.2022</t>
  </si>
  <si>
    <t>Наказы избирателей</t>
  </si>
  <si>
    <t>б/и</t>
  </si>
  <si>
    <t>по Решению Думы № 761 /остатки прошлого года/</t>
  </si>
  <si>
    <t xml:space="preserve">увед № 146  от  21.04.2022  </t>
  </si>
  <si>
    <t xml:space="preserve">увед № 215  от  29.04.2022  </t>
  </si>
  <si>
    <t>Школы дотации</t>
  </si>
  <si>
    <t>Салым</t>
  </si>
  <si>
    <t>увед № 94 от 10.03.2022</t>
  </si>
  <si>
    <t>увед № 37 от 27.01.2022</t>
  </si>
  <si>
    <t>увед № 146 от  21.04.2022</t>
  </si>
  <si>
    <t>увед № 215 от 29.04.2022</t>
  </si>
  <si>
    <t>передано в Родники</t>
  </si>
  <si>
    <t>увед № 225 от 11.05.2022</t>
  </si>
  <si>
    <t>из МП Спорт</t>
  </si>
  <si>
    <t>увед № 229 от 11.05.2022</t>
  </si>
  <si>
    <t>Наказы округ</t>
  </si>
  <si>
    <t>с.п.Салым</t>
  </si>
  <si>
    <t>дотации</t>
  </si>
  <si>
    <t>увеличение</t>
  </si>
  <si>
    <t>дотации для Родника и поселений</t>
  </si>
  <si>
    <t>увед № --- от 21.06.2022</t>
  </si>
  <si>
    <t>дотации для  поселений</t>
  </si>
  <si>
    <t>(в мп не включена) передадим в июне</t>
  </si>
  <si>
    <t>увед № 93 от 10.03.2022</t>
  </si>
  <si>
    <t>увеличение салым</t>
  </si>
  <si>
    <t>салым</t>
  </si>
  <si>
    <t>увед №  146 от 21.04.2022</t>
  </si>
  <si>
    <t>увед №  94 от 10.03.2022</t>
  </si>
  <si>
    <t>увед №  129 от 24.03.2022</t>
  </si>
  <si>
    <t>увед №  215 от 29.04.2022</t>
  </si>
  <si>
    <t>Увеличение ОБ</t>
  </si>
  <si>
    <t>Увеличение МБ</t>
  </si>
  <si>
    <t>увед № 214 от 29.04.2022</t>
  </si>
  <si>
    <t>должно быть расхождение на</t>
  </si>
  <si>
    <t>отдадим в бюджет для поселений (ДОТАЦИЯ)</t>
  </si>
  <si>
    <t>по УРМ</t>
  </si>
  <si>
    <t>по Решению Думы</t>
  </si>
  <si>
    <t>Дотации</t>
  </si>
  <si>
    <t>РД</t>
  </si>
  <si>
    <t>у нас в МП</t>
  </si>
  <si>
    <t>расхождения</t>
  </si>
  <si>
    <t>заберут в бюджет</t>
  </si>
  <si>
    <t xml:space="preserve">уменьшение ИИ </t>
  </si>
  <si>
    <t>уменьшение в связи с деф</t>
  </si>
  <si>
    <t>увеличение ИИ (ЗП и налоги)</t>
  </si>
  <si>
    <t>2023-2026 годы и на период до 2030 года</t>
  </si>
  <si>
    <t>2027-2030</t>
  </si>
  <si>
    <t>2025 год</t>
  </si>
  <si>
    <t>2026 год</t>
  </si>
  <si>
    <t>2027-2030 годы</t>
  </si>
  <si>
    <t>Региональный проект "Творческие люди", срок реализации (01.01.2023 - 31.12.2024)</t>
  </si>
  <si>
    <t>Региональный проект "Культурная среда", срок реализации (01.01.2023 - 31.12.2023)</t>
  </si>
  <si>
    <t>Портфель проектов "Культура", срок реализации (01.01.2023 - 31.12.2024):</t>
  </si>
  <si>
    <t>Проект муниципального образования  «Культурное наследие» (01.01.2023-31.12.2025)</t>
  </si>
  <si>
    <t>Паспорт 
муниципальной программы Нефтеюганского района</t>
  </si>
  <si>
    <t>Развитие культуры Нефтеюганского района</t>
  </si>
  <si>
    <t>ДКиС НР</t>
  </si>
  <si>
    <t>Департамент культуры и спорта Нефтеюганского района (МКУ "Управление по обеспечению деятельности учреждений культуры и спорта")</t>
  </si>
  <si>
    <t>2025 г.</t>
  </si>
  <si>
    <t>2026 г.</t>
  </si>
  <si>
    <t>Количество волонтеров, вовлеченных в программу «Волонтеры культуры», человек (нарастающим итогом)</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</si>
  <si>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</si>
  <si>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 xml:space="preserve"> Число посещений культурных мероприятий, Количество созданных (реконструированных) и отремонтированных объектов организаций культуры (единиц) </t>
  </si>
  <si>
    <t>4.</t>
  </si>
  <si>
    <t>5.</t>
  </si>
  <si>
    <t>6.</t>
  </si>
  <si>
    <t>Количество созданных (реконструированных) и отремонтированных объектов организаций культуры, единиц (нарастающим итогом)</t>
  </si>
  <si>
    <t>Культурно-образовательный комплекс в пгт. Пойковский 
(1 очередь)</t>
  </si>
  <si>
    <t>2.6.</t>
  </si>
  <si>
    <t>2.7.</t>
  </si>
  <si>
    <t>2.8.</t>
  </si>
  <si>
    <t>Приобретение музыкальных инструментов</t>
  </si>
  <si>
    <t>Подпрограмма III «Совершенствование системы управления в сфере культуры и архивного дела»</t>
  </si>
  <si>
    <t>7.</t>
  </si>
  <si>
    <t>Департамент финансов Нефтеюганского района</t>
  </si>
  <si>
    <t>Соисполнитель 1. Департамент строительства и жилищно-коммунального комплекса Нефтеюганского района</t>
  </si>
  <si>
    <t>Количество архивных дел особо ценных и наиболее востребованных, включая аудио и видео, переведенных в электронный вид, хранящихся в архиве Нефтеюганского района, единиц хранения (ежегодно)</t>
  </si>
  <si>
    <t>Количество обращений к цифровым ресурсам культуры, единиц (ежегодно)</t>
  </si>
  <si>
    <t>Количество специалистов сферы культуры, повысивших квалификацию на базе Центров непрерывного образования и повышения квалификации творческих и управленческих кадров в сфере культуры, человек (нарастающим итогом до 2024 года, в соответствии с декомпозицией Регионального проекта «Творческие люди»)</t>
  </si>
  <si>
    <t>2027- 2030</t>
  </si>
  <si>
    <t>Администрация Нефтеюганского района (отдел по делам архивов)</t>
  </si>
  <si>
    <t>Соисполнитель 3. Администрация Нефтеюганского района (отдел по делам архивов)</t>
  </si>
  <si>
    <t>Сведения о прогнозных и фактически исполненных условных и безусловных обязательствах, возникающих при исполнении концессионного соглашения</t>
  </si>
  <si>
    <t>Сведения о фактически исполненных обязательствах с 01.02.2023 год</t>
  </si>
  <si>
    <t xml:space="preserve">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 </t>
  </si>
  <si>
    <t>Структурный элемент (основное мероприятие) муниципальной программы</t>
  </si>
  <si>
    <t>Ответственный исполнитель / соисполнитель</t>
  </si>
  <si>
    <t>Финансовые затраты на реализацию (тыс.  рублей)</t>
  </si>
  <si>
    <t>Соисполнитель 2. Администрация Нефтеюганского района (Управляющий делами)</t>
  </si>
  <si>
    <t>Реализация мероприятий по организации деятельности муниципального музея .</t>
  </si>
  <si>
    <t>Обеспечение  деятельности  Департамента культуры и спорта Нефтеюганского района и подведомственных департаменту учреждений</t>
  </si>
  <si>
    <t xml:space="preserve">Обеспечение деятельности и создание условий для предоставления муниципальных услуг (работ), оказываемых  отделом по делам архивов.
</t>
  </si>
  <si>
    <t xml:space="preserve">Организация тренингов, мастер - классов, проведение ежегодного районного конкурса волонтеров культуры "ДоброТвОрец: Действуй-Твори-Объединяй" направленных на развитие и поддержку добровольчества (волонтерства)
</t>
  </si>
  <si>
    <t xml:space="preserve">Прохождение курсов по повышение квалификации творческих и управленческих кадров в сфере культуры на базе Центров непрерывного образования. 
</t>
  </si>
  <si>
    <t>Организация деятельности образовательных учреждений сферы культуры. Выявление, поддержка и сопровождение одаренных детей и их дальнейшего развития.</t>
  </si>
  <si>
    <t>Обеспечениюе деятельности учреждения культурно-досугового типа, развитие народного творчества и традиционной культуры, трансляция знаний о народных художественных промыслах и ремеслах.</t>
  </si>
  <si>
    <t>Администрация Нефтеюганского района (Управляющий делами)</t>
  </si>
  <si>
    <t>Количество организаций культуры, получивших современное оборудование, единиц (нарастающим итогом)</t>
  </si>
  <si>
    <t>**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(далее-средства по Соглашениям по передаче полномочий)-отражаются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 Данные средства суммируются по строке «Всего».</t>
  </si>
  <si>
    <t xml:space="preserve">***средства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 
</t>
  </si>
  <si>
    <t>Культурно-образовательный комплекс в пгт. Пойковский (1 очередь)</t>
  </si>
  <si>
    <t>1.4.</t>
  </si>
  <si>
    <t>Департамент культуры и спорта Нефтеюганского района/ Администрация Нефтеюганского района (Управляюший делами)</t>
  </si>
  <si>
    <t xml:space="preserve">Развитие и  модернизация материально-технической базы учреждений, 
</t>
  </si>
  <si>
    <t>Строительство в сфере культуры.</t>
  </si>
  <si>
    <t xml:space="preserve">Департамент строительства и жилищно-коммунального комплекса Нефтеюганского района </t>
  </si>
  <si>
    <t>2023-2026 годы</t>
  </si>
  <si>
    <t xml:space="preserve">Наименование порядка, номер приложения (при наличии) либо реквизиты  нормативного правового акта утвержденного Порядка </t>
  </si>
  <si>
    <t>»</t>
  </si>
  <si>
    <t>Цель:   «Реализация стратегической роли культуры, как важнейшего фактора и гаранта роста качества жизни и гармонизации общественных отношений, через укрепление единого культурного пространства, российской гражданской идентичности на основе духовно-нравственных и культурных ценностей народов, проживающих на территории Нефтеюганского района»</t>
  </si>
  <si>
    <t>Подпрограмма 1   «Обеспечение прав граждан на доступ к объектам сферы культуры и информационным ресурсам»</t>
  </si>
  <si>
    <t xml:space="preserve">Региональный проект  «Культурная среда»
</t>
  </si>
  <si>
    <t xml:space="preserve">Проект Нефтеюганского района   «Культурно-образовательный комплекс в пгт. Пойковский (1 очередь)»
</t>
  </si>
  <si>
    <t>Проект Нефтеюганского района   «Сельский Дом культуры/библиотека в сп.Куть-Ях»</t>
  </si>
  <si>
    <t xml:space="preserve">Основное мероприятие   «Укрепление материально-технической базы учреждений культуры»
</t>
  </si>
  <si>
    <t>Задача 2.   «Приобщение наибольшего количества жителей к постижению различных видов искусств, культурных ценностей, к творческой самореализации; формирование единого культурного и информационного пространства знаний»</t>
  </si>
  <si>
    <t>Подпрограмма II   «Укрепление единого культурного пространства в Нефтеюганском районе. Поддержка творческих инициатив, способствующих самореализации граждан»</t>
  </si>
  <si>
    <t>Региональный проект  «Творческие люди»</t>
  </si>
  <si>
    <t xml:space="preserve">Основное мероприятие  «Поддержка одаренных детей и молодежи, развитие художественного образования» </t>
  </si>
  <si>
    <t xml:space="preserve">Проект Нефтеюганского района «Мультиформатный культурно-образовательный проект  Культурное наследие» </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</si>
  <si>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t>
  </si>
  <si>
    <t xml:space="preserve">Основное мероприятие  «Реализация единой региональной  (государственной) и муниципальной политики в сфере культуры» </t>
  </si>
  <si>
    <t>Основное мероприятие  «Развитие архивного дела»</t>
  </si>
  <si>
    <t>Задача 3.   «Создание необходимых условий для устойчивого развития сферы культуры, путем совершенствования материально-технического и информационного обеспечения, организационных, экономических и правовых механизмов развития культуры»</t>
  </si>
  <si>
    <t>Задача 1. «Совершенствование и формирование современного имущественного комплекса учреждений и организаций культуры»</t>
  </si>
  <si>
    <t xml:space="preserve">Основное мероприятие «Развитие библиотечного дела»   </t>
  </si>
  <si>
    <t>Основное мероприятие «Развитие музейного дела»</t>
  </si>
  <si>
    <t>Региональный проект «Культурная среда» (показатель № 2 таблицы 8)</t>
  </si>
  <si>
    <t>Проект Нефтеюганского района  «Культурно-образовательный комплекс в пгт. Пойковский
(1 очередь)»
(показатели № 1, 2 таблицы 8)</t>
  </si>
  <si>
    <t>Проект Нефтеюганского района  «Сельский Дом культуры/библиотека в
сп.Куть-Ях»
(показатели № 1, 2 таблицы 8)</t>
  </si>
  <si>
    <t>Основное мероприятие   «Укрепление материально-технической базы учреждений культуры» (показатели № 1, 2 таблицы 8)</t>
  </si>
  <si>
    <t>Региональный проект «Творческие люди» (показатель № 4 таблицы 8)</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</si>
  <si>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 (показатели № 1 таблицы 1, № 3 таблицы 8)</t>
  </si>
  <si>
    <t>Основное мероприятие 
 «Развитие библиотечного дела» (показатели № 1 таблицы 1, № 3 таблицы 8)</t>
  </si>
  <si>
    <t>Основное мероприятие 
 «Развитие музейного дела» (показатели № 1 таблицы 1, № 3 таблицы 8)</t>
  </si>
  <si>
    <t>Основное мероприятие  «Поддержка добровольческих (волонтерских) объединений в сельской местности, в том числе по реализации социокультурных проектов» (показатель № 6 таблицы 8)</t>
  </si>
  <si>
    <t>Основное мероприятие 
 «Развитие архивного дела» 
(показатель № 7 таблицы 8)</t>
  </si>
  <si>
    <t>Основное мероприятие  «Реализация единой региональной  (государственной) и муниципальной политики в сфере культуры» (показатель № 1 таблицы 1)</t>
  </si>
  <si>
    <t>Проект Нефтеюганского района «Мультиформатный культурно-образовательный проект  «Культурное наследие» (показатель № 1 таблицы 1)</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</si>
  <si>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(показатель № 5 таблицы 8)    </t>
  </si>
  <si>
    <t xml:space="preserve">Основное мероприятие  «Оказание информационно-консультационной и имущественной поддержки (в части предоставления безвозмездно и на краткосрочной основе нежилых помещений), некоммерческим организациям (в том числе социально ориентированным некоммерческим организациям), осуществляющим деятельность в сфере культуры» </t>
  </si>
  <si>
    <t>Реализация мероприятий на безвозмездной основе некоммерческим организациям (в том числе социально ориентированным некоммерческим организациям), не являющимся государственными (муниципальными) учреждениями, осуществляющим деятельность в сфере культуры</t>
  </si>
  <si>
    <t>Количество некоммерческих организаций (в том числе социально ориентированных некоммерческих организаций),осуществляющих деятельность в сфере культуры, получивших поддержку в рамках реализации мероприятий муниципальной программы (единиц) (ежегодно)</t>
  </si>
  <si>
    <t>Остаток стоимости на 01.01.2024</t>
  </si>
  <si>
    <t>Инвестиции</t>
  </si>
  <si>
    <t>Всего:</t>
  </si>
  <si>
    <t>средства по Cоглашениям по передаче полномочий</t>
  </si>
  <si>
    <t xml:space="preserve"> 298 мест              </t>
  </si>
  <si>
    <t>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</si>
  <si>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</si>
  <si>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</si>
  <si>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</si>
  <si>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t>
  </si>
  <si>
    <t xml:space="preserve">Перечень реализуемых объектов на очередной финансовый год 2024 год и на плановый период 2025 и 2026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
</t>
  </si>
  <si>
    <t xml:space="preserve"> Стоимость объекта в ценах соответствующих лет с учетом периода реализации проекта (планируемый объем инвестиций)</t>
  </si>
  <si>
    <t xml:space="preserve">170 /17 000 </t>
  </si>
  <si>
    <t>2027-2029 годы</t>
  </si>
  <si>
    <t>Основное мероприятие «Поддержка одаренных детей и молодежи, развитие художественного образования» (показатели № 1 таблицы 1, № 3 таблицы 8)</t>
  </si>
  <si>
    <t>1.5.</t>
  </si>
  <si>
    <t xml:space="preserve">Проект Нефтеюганского района «Ремонт объекта «Дом культуры «Гармония» в п. Юганская Обь </t>
  </si>
  <si>
    <t>Ремонт учереждений культуры</t>
  </si>
  <si>
    <t>Проект Нефтеюганского района «Ремонт объекта «Дом культуры «Гармония» в п. Юганская Обь (показатель № 1 таблицы 8)</t>
  </si>
  <si>
    <t>Без финансирования. Организация профориентационных встреч с преподавателями ВУЗов.</t>
  </si>
  <si>
    <t>Основное мероприятие  «Стимулирование культурного разнообразия в Нефтеюганском районе, в том числе популяризация народных художественных промыслов и ремесел»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</si>
</sst>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 _₽_-;\-* #,##0\ _₽_-;_-* &quot;-&quot;\ _₽_-;_-@_-"/>
    <numFmt numFmtId="165" formatCode="_-* #,##0.00\ _₽_-;\-* #,##0.00\ _₽_-;_-* &quot;-&quot;??\ _₽_-;_-@_-"/>
    <numFmt numFmtId="166" formatCode="_-* #,##0.00000\ _₽_-;\-* #,##0.00000\ _₽_-;_-* &quot;-&quot;??\ _₽_-;_-@_-"/>
    <numFmt numFmtId="167" formatCode="_-* #,##0.00_р_._-;\-* #,##0.00_р_._-;_-* &quot;-&quot;??_р_._-;_-@_-"/>
    <numFmt numFmtId="168" formatCode="_-* #,##0\ _₽_-;\-* #,##0\ _₽_-;_-* &quot;-&quot;??\ _₽_-;_-@_-"/>
    <numFmt numFmtId="169" formatCode="_-* #,##0.00000_р_._-;\-* #,##0.00000_р_._-;_-* &quot;-&quot;??_р_._-;_-@_-"/>
    <numFmt numFmtId="170" formatCode="_-* #,##0.00000\ _₽_-;\-* #,##0.00000\ _₽_-;_-* &quot;-&quot;?????\ _₽_-;_-@_-"/>
    <numFmt numFmtId="171" formatCode="#,##0.00000_ ;[Red]\-#,##0.00000\ "/>
    <numFmt numFmtId="172" formatCode="_-* #,##0.0000000000_р_._-;\-* #,##0.0000000000_р_._-;_-* &quot;-&quot;??_р_._-;_-@_-"/>
    <numFmt numFmtId="173" formatCode="_-* #,##0.00000000000_р_._-;\-* #,##0.00000000000_р_._-;_-* &quot;-&quot;??_р_._-;_-@_-"/>
    <numFmt numFmtId="174" formatCode="_-* #,##0.000000000_р_._-;\-* #,##0.000000000_р_._-;_-* &quot;-&quot;??_р_._-;_-@_-"/>
    <numFmt numFmtId="175" formatCode="_-* #,##0.00000000000\ _₽_-;\-* #,##0.00000000000\ _₽_-;_-* &quot;-&quot;???????????\ _₽_-;_-@_-"/>
    <numFmt numFmtId="176" formatCode="_-* #,##0.000\ _₽_-;\-* #,##0.000\ _₽_-;_-* &quot;-&quot;??\ _₽_-;_-@_-"/>
    <numFmt numFmtId="177" formatCode="0.00000"/>
    <numFmt numFmtId="178" formatCode="0.000"/>
  </numFmts>
  <fonts count="5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0"/>
      <color theme="1"/>
      <name val="Times New Roman"/>
      <family val="1"/>
      <charset val="204"/>
    </font>
    <font>
      <sz val="11"/>
      <color theme="1"/>
      <name val="Times New Roman"/>
      <family val="1"/>
      <charset val="204"/>
    </font>
    <font>
      <sz val="11"/>
      <color rgb="FF000000"/>
      <name val="Times New Roman"/>
      <family val="1"/>
      <charset val="204"/>
    </font>
    <font>
      <b/>
      <sz val="10"/>
      <color theme="1"/>
      <name val="Times New Roman"/>
      <family val="1"/>
      <charset val="204"/>
    </font>
    <font>
      <b/>
      <sz val="11"/>
      <color theme="1"/>
      <name val="Times New Roman"/>
      <family val="1"/>
      <charset val="204"/>
    </font>
    <font>
      <sz val="11"/>
      <color rgb="FFFF0000"/>
      <name val="Calibri"/>
      <family val="2"/>
      <scheme val="minor"/>
    </font>
    <font>
      <b/>
      <sz val="12"/>
      <color theme="1"/>
      <name val="Times New Roman"/>
      <family val="1"/>
      <charset val="204"/>
    </font>
    <font>
      <sz val="12"/>
      <color theme="1"/>
      <name val="Times New Roman"/>
      <family val="1"/>
      <charset val="204"/>
    </font>
    <font>
      <b/>
      <sz val="15"/>
      <color theme="1"/>
      <name val="Times New Roman"/>
      <family val="1"/>
      <charset val="204"/>
    </font>
    <font>
      <sz val="8"/>
      <color theme="1"/>
      <name val="Times New Roman"/>
      <family val="1"/>
      <charset val="204"/>
    </font>
    <font>
      <b/>
      <sz val="11"/>
      <color rgb="FF000000"/>
      <name val="Times New Roman"/>
      <family val="1"/>
      <charset val="204"/>
    </font>
    <font>
      <sz val="9"/>
      <color rgb="FF000000"/>
      <name val="Times New Roman"/>
      <family val="1"/>
      <charset val="204"/>
    </font>
    <font>
      <sz val="9"/>
      <color theme="1"/>
      <name val="Calibri"/>
      <family val="2"/>
      <scheme val="minor"/>
    </font>
    <font>
      <sz val="11"/>
      <color indexed="8"/>
      <name val="Calibri"/>
      <family val="2"/>
      <charset val="204"/>
    </font>
    <font>
      <sz val="10"/>
      <name val="Times New Roman"/>
      <family val="1"/>
      <charset val="204"/>
    </font>
    <font>
      <b/>
      <sz val="10"/>
      <name val="Times New Roman"/>
      <family val="1"/>
      <charset val="204"/>
    </font>
    <font>
      <b/>
      <sz val="11"/>
      <color rgb="FFFF0000"/>
      <name val="Calibri"/>
      <family val="2"/>
      <charset val="204"/>
      <scheme val="minor"/>
    </font>
    <font>
      <sz val="11"/>
      <name val="Times New Roman"/>
      <family val="1"/>
      <charset val="204"/>
    </font>
    <font>
      <sz val="11"/>
      <color rgb="FFFF0000"/>
      <name val="Calibri"/>
      <family val="2"/>
      <charset val="204"/>
      <scheme val="minor"/>
    </font>
    <font>
      <sz val="11"/>
      <name val="Calibri"/>
      <family val="2"/>
      <scheme val="minor"/>
    </font>
    <font>
      <b/>
      <sz val="12"/>
      <name val="Times New Roman"/>
      <family val="1"/>
      <charset val="204"/>
    </font>
    <font>
      <b/>
      <sz val="14"/>
      <color theme="1"/>
      <name val="Calibri"/>
      <family val="2"/>
      <charset val="204"/>
      <scheme val="minor"/>
    </font>
    <font>
      <sz val="9"/>
      <color indexed="81"/>
      <name val="Tahoma"/>
      <family val="2"/>
      <charset val="204"/>
    </font>
    <font>
      <b/>
      <sz val="9"/>
      <color indexed="81"/>
      <name val="Tahoma"/>
      <family val="2"/>
      <charset val="204"/>
    </font>
    <font>
      <sz val="11"/>
      <color rgb="FF0000FF"/>
      <name val="Calibri"/>
      <family val="2"/>
      <scheme val="minor"/>
    </font>
    <font>
      <sz val="11"/>
      <color rgb="FF0000FF"/>
      <name val="Times New Roman"/>
      <family val="1"/>
      <charset val="204"/>
    </font>
    <font>
      <b/>
      <sz val="10"/>
      <color indexed="81"/>
      <name val="Tahoma"/>
      <family val="2"/>
      <charset val="204"/>
    </font>
    <font>
      <b/>
      <sz val="12"/>
      <color indexed="81"/>
      <name val="Tahoma"/>
      <family val="2"/>
      <charset val="204"/>
    </font>
    <font>
      <b/>
      <u/>
      <sz val="10"/>
      <color indexed="81"/>
      <name val="Tahoma"/>
      <family val="2"/>
      <charset val="204"/>
    </font>
    <font>
      <b/>
      <u/>
      <sz val="9"/>
      <color indexed="81"/>
      <name val="Tahoma"/>
      <family val="2"/>
      <charset val="204"/>
    </font>
    <font>
      <sz val="9"/>
      <name val="Times New Roman"/>
      <family val="1"/>
      <charset val="204"/>
    </font>
    <font>
      <b/>
      <sz val="11"/>
      <name val="Times New Roman"/>
      <family val="1"/>
      <charset val="204"/>
    </font>
    <font>
      <sz val="9"/>
      <color rgb="FF0000FF"/>
      <name val="Times New Roman"/>
      <family val="1"/>
      <charset val="204"/>
    </font>
    <font>
      <b/>
      <sz val="11"/>
      <color rgb="FF0000FF"/>
      <name val="Times New Roman"/>
      <family val="1"/>
      <charset val="204"/>
    </font>
    <font>
      <sz val="10"/>
      <color rgb="FF0000FF"/>
      <name val="Times New Roman"/>
      <family val="1"/>
      <charset val="204"/>
    </font>
    <font>
      <b/>
      <sz val="11"/>
      <color rgb="FF0000FF"/>
      <name val="Calibri"/>
      <family val="2"/>
      <charset val="204"/>
      <scheme val="minor"/>
    </font>
    <font>
      <sz val="11"/>
      <color rgb="FF0000FF"/>
      <name val="Calibri"/>
      <family val="2"/>
      <charset val="204"/>
      <scheme val="minor"/>
    </font>
    <font>
      <sz val="10"/>
      <color theme="1"/>
      <name val="Calibri"/>
      <family val="2"/>
      <scheme val="minor"/>
    </font>
    <font>
      <sz val="22"/>
      <color rgb="FF0000FF"/>
      <name val="Calibri"/>
      <family val="2"/>
      <scheme val="minor"/>
    </font>
    <font>
      <sz val="14"/>
      <color rgb="FF0000FF"/>
      <name val="Calibri"/>
      <family val="2"/>
      <scheme val="minor"/>
    </font>
    <font>
      <sz val="11"/>
      <color rgb="FFFF0000"/>
      <name val="Times New Roman"/>
      <family val="1"/>
      <charset val="204"/>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CCFF"/>
        <bgColor indexed="64"/>
      </patternFill>
    </fill>
  </fills>
  <borders count="39">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style="hair">
        <color indexed="64"/>
      </top>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5">
    <xf numFmtId="0" fontId="0" fillId="0" borderId="0"/>
    <xf numFmtId="165" fontId="8" fillId="0" borderId="0" applyFont="0" applyFill="0" applyBorder="0" applyAlignment="0" applyProtection="0"/>
    <xf numFmtId="0" fontId="6" fillId="0" borderId="0"/>
    <xf numFmtId="0" fontId="6" fillId="0" borderId="0"/>
    <xf numFmtId="0" fontId="8" fillId="0" borderId="0"/>
    <xf numFmtId="0" fontId="6" fillId="0" borderId="0"/>
    <xf numFmtId="167" fontId="22"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7" fontId="22"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0" fontId="8" fillId="0" borderId="0"/>
    <xf numFmtId="165" fontId="8" fillId="0" borderId="0" applyFont="0" applyFill="0" applyBorder="0" applyAlignment="0" applyProtection="0"/>
    <xf numFmtId="0" fontId="5" fillId="0" borderId="0"/>
    <xf numFmtId="0" fontId="4" fillId="0" borderId="0"/>
    <xf numFmtId="0" fontId="4" fillId="0" borderId="0"/>
    <xf numFmtId="0" fontId="4" fillId="0" borderId="0"/>
    <xf numFmtId="167" fontId="4" fillId="0" borderId="0" applyFont="0" applyFill="0" applyBorder="0" applyAlignment="0" applyProtection="0"/>
    <xf numFmtId="167" fontId="4" fillId="0" borderId="0" applyFont="0" applyFill="0" applyBorder="0" applyAlignment="0" applyProtection="0"/>
    <xf numFmtId="165" fontId="4" fillId="0" borderId="0" applyFont="0" applyFill="0" applyBorder="0" applyAlignment="0" applyProtection="0"/>
    <xf numFmtId="0" fontId="4" fillId="0" borderId="0"/>
    <xf numFmtId="0" fontId="3" fillId="0" borderId="0"/>
    <xf numFmtId="0" fontId="2" fillId="0" borderId="0"/>
    <xf numFmtId="0" fontId="1" fillId="0" borderId="0"/>
  </cellStyleXfs>
  <cellXfs count="548">
    <xf numFmtId="0" fontId="0" fillId="0" borderId="0" xfId="0"/>
    <xf numFmtId="0" fontId="9" fillId="0" borderId="1" xfId="0" applyFont="1" applyBorder="1" applyAlignment="1">
      <alignment vertical="center" wrapText="1"/>
    </xf>
    <xf numFmtId="0" fontId="7" fillId="0" borderId="0" xfId="0" applyFont="1"/>
    <xf numFmtId="0" fontId="10" fillId="0" borderId="0" xfId="0" applyFont="1" applyAlignment="1">
      <alignment horizontal="justify" vertical="center"/>
    </xf>
    <xf numFmtId="0" fontId="13" fillId="0" borderId="0" xfId="0" applyFont="1" applyAlignment="1">
      <alignment horizontal="right" vertical="center"/>
    </xf>
    <xf numFmtId="0" fontId="0" fillId="0" borderId="0" xfId="0" applyAlignment="1">
      <alignment horizontal="center" vertical="center"/>
    </xf>
    <xf numFmtId="0" fontId="13" fillId="0" borderId="0" xfId="0" applyFont="1" applyAlignment="1">
      <alignment horizontal="center" vertical="center"/>
    </xf>
    <xf numFmtId="0" fontId="9" fillId="0" borderId="0" xfId="0" applyFont="1" applyAlignment="1">
      <alignment vertical="center" wrapText="1"/>
    </xf>
    <xf numFmtId="0" fontId="17" fillId="0" borderId="0" xfId="0" applyFont="1" applyAlignment="1">
      <alignment horizontal="justify" vertical="center"/>
    </xf>
    <xf numFmtId="0" fontId="10" fillId="0" borderId="0" xfId="0" applyFont="1" applyAlignment="1">
      <alignment horizontal="center" vertical="center"/>
    </xf>
    <xf numFmtId="0" fontId="10" fillId="0" borderId="0" xfId="0" applyFont="1" applyAlignment="1">
      <alignment horizontal="right" vertical="center"/>
    </xf>
    <xf numFmtId="0" fontId="0" fillId="0" borderId="0" xfId="0" applyAlignment="1">
      <alignment vertical="center"/>
    </xf>
    <xf numFmtId="0" fontId="0" fillId="0" borderId="0" xfId="0" applyAlignment="1">
      <alignment vertical="center" wrapText="1"/>
    </xf>
    <xf numFmtId="0" fontId="10" fillId="0" borderId="0" xfId="0" applyFont="1" applyAlignment="1">
      <alignment horizontal="justify" vertical="center" wrapText="1"/>
    </xf>
    <xf numFmtId="0" fontId="15" fillId="0" borderId="0" xfId="0" applyFont="1" applyAlignment="1">
      <alignment horizontal="center" vertical="center"/>
    </xf>
    <xf numFmtId="0" fontId="16" fillId="0" borderId="0" xfId="0" applyFont="1" applyAlignment="1">
      <alignment horizontal="justify" vertical="center"/>
    </xf>
    <xf numFmtId="0" fontId="12" fillId="0" borderId="0" xfId="0" applyFont="1" applyAlignment="1">
      <alignment vertical="center" wrapText="1"/>
    </xf>
    <xf numFmtId="169" fontId="26" fillId="2" borderId="1" xfId="3" applyNumberFormat="1" applyFont="1" applyFill="1" applyBorder="1" applyAlignment="1">
      <alignment horizontal="center" vertical="center" wrapText="1"/>
    </xf>
    <xf numFmtId="166" fontId="11" fillId="2" borderId="5" xfId="1" applyNumberFormat="1" applyFont="1" applyFill="1" applyBorder="1" applyAlignment="1">
      <alignment horizontal="justify" vertical="center"/>
    </xf>
    <xf numFmtId="0" fontId="0" fillId="2" borderId="0" xfId="0" applyFill="1" applyAlignment="1">
      <alignment horizontal="center"/>
    </xf>
    <xf numFmtId="0" fontId="0" fillId="2" borderId="0" xfId="0" applyFill="1" applyAlignment="1">
      <alignment horizontal="left"/>
    </xf>
    <xf numFmtId="0" fontId="0" fillId="2" borderId="0" xfId="0" applyFill="1"/>
    <xf numFmtId="0" fontId="16" fillId="2" borderId="0" xfId="0" applyFont="1" applyFill="1" applyAlignment="1">
      <alignment horizontal="right" vertical="center"/>
    </xf>
    <xf numFmtId="0" fontId="16" fillId="2" borderId="0" xfId="0" applyFont="1" applyFill="1" applyAlignment="1">
      <alignment horizontal="center" vertical="center"/>
    </xf>
    <xf numFmtId="0" fontId="20" fillId="2" borderId="1" xfId="0" applyFont="1" applyFill="1" applyBorder="1" applyAlignment="1">
      <alignment horizontal="center" vertical="center"/>
    </xf>
    <xf numFmtId="0" fontId="20" fillId="2" borderId="1" xfId="0" applyFont="1" applyFill="1" applyBorder="1" applyAlignment="1">
      <alignment horizontal="left" vertical="center"/>
    </xf>
    <xf numFmtId="0" fontId="21" fillId="2" borderId="0" xfId="0" applyFont="1" applyFill="1"/>
    <xf numFmtId="166" fontId="19" fillId="2" borderId="1" xfId="1" applyNumberFormat="1" applyFont="1" applyFill="1" applyBorder="1" applyAlignment="1">
      <alignment horizontal="justify" vertical="center"/>
    </xf>
    <xf numFmtId="166" fontId="11" fillId="2" borderId="1" xfId="1" applyNumberFormat="1" applyFont="1" applyFill="1" applyBorder="1" applyAlignment="1">
      <alignment horizontal="justify" vertical="center"/>
    </xf>
    <xf numFmtId="0" fontId="7" fillId="2" borderId="0" xfId="0" applyFont="1" applyFill="1"/>
    <xf numFmtId="169" fontId="26" fillId="2" borderId="14" xfId="3" applyNumberFormat="1" applyFont="1" applyFill="1" applyBorder="1" applyAlignment="1">
      <alignment horizontal="center" vertical="center" wrapText="1"/>
    </xf>
    <xf numFmtId="169" fontId="26" fillId="2" borderId="4" xfId="3" applyNumberFormat="1" applyFont="1" applyFill="1" applyBorder="1" applyAlignment="1">
      <alignment horizontal="center" vertical="center" wrapText="1"/>
    </xf>
    <xf numFmtId="169" fontId="26" fillId="2" borderId="11" xfId="3" applyNumberFormat="1" applyFont="1" applyFill="1" applyBorder="1" applyAlignment="1">
      <alignment horizontal="center" vertical="center" wrapText="1"/>
    </xf>
    <xf numFmtId="166" fontId="26" fillId="2" borderId="1" xfId="1" applyNumberFormat="1" applyFont="1" applyFill="1" applyBorder="1" applyAlignment="1">
      <alignment horizontal="justify" vertical="center"/>
    </xf>
    <xf numFmtId="166" fontId="11" fillId="2" borderId="4" xfId="1" applyNumberFormat="1" applyFont="1" applyFill="1" applyBorder="1" applyAlignment="1">
      <alignment horizontal="justify" vertical="center"/>
    </xf>
    <xf numFmtId="166" fontId="11" fillId="2" borderId="14" xfId="1" applyNumberFormat="1" applyFont="1" applyFill="1" applyBorder="1" applyAlignment="1">
      <alignment horizontal="justify" vertical="center"/>
    </xf>
    <xf numFmtId="169" fontId="26" fillId="2" borderId="5" xfId="3" applyNumberFormat="1" applyFont="1" applyFill="1" applyBorder="1" applyAlignment="1">
      <alignment horizontal="center" vertical="center" wrapText="1"/>
    </xf>
    <xf numFmtId="166" fontId="11" fillId="2" borderId="1" xfId="1" applyNumberFormat="1" applyFont="1" applyFill="1" applyBorder="1" applyAlignment="1">
      <alignment horizontal="justify" vertical="center" wrapText="1"/>
    </xf>
    <xf numFmtId="166" fontId="11" fillId="2" borderId="1" xfId="1" applyNumberFormat="1" applyFont="1" applyFill="1" applyBorder="1" applyAlignment="1">
      <alignment horizontal="left" vertical="center" wrapText="1"/>
    </xf>
    <xf numFmtId="166" fontId="11" fillId="2" borderId="1" xfId="0" applyNumberFormat="1" applyFont="1" applyFill="1" applyBorder="1" applyAlignment="1">
      <alignment horizontal="justify" vertical="center" wrapText="1"/>
    </xf>
    <xf numFmtId="0" fontId="11" fillId="2" borderId="1" xfId="0" applyFont="1" applyFill="1" applyBorder="1" applyAlignment="1">
      <alignment horizontal="justify" vertical="center" wrapText="1"/>
    </xf>
    <xf numFmtId="166" fontId="9" fillId="2" borderId="1" xfId="1" applyNumberFormat="1" applyFont="1" applyFill="1" applyBorder="1" applyAlignment="1">
      <alignment vertical="center" wrapText="1"/>
    </xf>
    <xf numFmtId="170" fontId="11" fillId="2" borderId="1" xfId="1" applyNumberFormat="1" applyFont="1" applyFill="1" applyBorder="1" applyAlignment="1">
      <alignment horizontal="justify" vertical="center" wrapText="1"/>
    </xf>
    <xf numFmtId="0" fontId="9" fillId="2" borderId="0" xfId="0" applyFont="1" applyFill="1" applyAlignment="1">
      <alignment horizontal="center"/>
    </xf>
    <xf numFmtId="0" fontId="9" fillId="2" borderId="0" xfId="0" applyFont="1" applyFill="1" applyAlignment="1">
      <alignment horizontal="left"/>
    </xf>
    <xf numFmtId="0" fontId="9" fillId="2" borderId="0" xfId="0" applyFont="1" applyFill="1"/>
    <xf numFmtId="170" fontId="0" fillId="2" borderId="0" xfId="0" applyNumberFormat="1" applyFill="1"/>
    <xf numFmtId="170" fontId="7" fillId="2" borderId="0" xfId="0" applyNumberFormat="1" applyFont="1" applyFill="1"/>
    <xf numFmtId="170" fontId="25" fillId="2" borderId="0" xfId="0" applyNumberFormat="1" applyFont="1" applyFill="1"/>
    <xf numFmtId="170" fontId="27" fillId="2" borderId="0" xfId="0" applyNumberFormat="1" applyFont="1" applyFill="1"/>
    <xf numFmtId="0" fontId="27" fillId="2" borderId="0" xfId="0" applyFont="1" applyFill="1"/>
    <xf numFmtId="0" fontId="26" fillId="2" borderId="1" xfId="0" applyFont="1" applyFill="1" applyBorder="1" applyAlignment="1">
      <alignment horizontal="left" vertical="center" wrapText="1"/>
    </xf>
    <xf numFmtId="0" fontId="28" fillId="2" borderId="0" xfId="0" applyFont="1" applyFill="1"/>
    <xf numFmtId="0" fontId="29" fillId="2" borderId="1" xfId="3" applyFont="1" applyFill="1" applyBorder="1" applyAlignment="1">
      <alignment horizontal="left" vertical="center" wrapText="1"/>
    </xf>
    <xf numFmtId="0" fontId="29" fillId="2" borderId="1" xfId="3" applyFont="1" applyFill="1" applyBorder="1" applyAlignment="1">
      <alignment horizontal="center" vertical="center" wrapText="1"/>
    </xf>
    <xf numFmtId="0" fontId="29" fillId="2" borderId="1" xfId="3" applyFont="1" applyFill="1" applyBorder="1" applyAlignment="1">
      <alignment vertical="center" wrapText="1"/>
    </xf>
    <xf numFmtId="0" fontId="10" fillId="0" borderId="0" xfId="0" applyFont="1"/>
    <xf numFmtId="0" fontId="28" fillId="0" borderId="0" xfId="0" applyFont="1"/>
    <xf numFmtId="166" fontId="10" fillId="2" borderId="1" xfId="1" applyNumberFormat="1" applyFont="1" applyFill="1" applyBorder="1" applyAlignment="1">
      <alignment vertical="center"/>
    </xf>
    <xf numFmtId="166" fontId="11" fillId="2" borderId="2" xfId="1" applyNumberFormat="1" applyFont="1" applyFill="1" applyBorder="1" applyAlignment="1">
      <alignment horizontal="justify" vertical="center"/>
    </xf>
    <xf numFmtId="166" fontId="11" fillId="2" borderId="11" xfId="1" applyNumberFormat="1" applyFont="1" applyFill="1" applyBorder="1" applyAlignment="1">
      <alignment horizontal="justify" vertical="center"/>
    </xf>
    <xf numFmtId="0" fontId="16" fillId="0" borderId="0" xfId="0" applyFont="1" applyAlignment="1">
      <alignment horizontal="right" vertical="center" wrapText="1"/>
    </xf>
    <xf numFmtId="169" fontId="26" fillId="2" borderId="10" xfId="3" applyNumberFormat="1" applyFont="1" applyFill="1" applyBorder="1" applyAlignment="1">
      <alignment horizontal="center" vertical="center" wrapText="1"/>
    </xf>
    <xf numFmtId="166" fontId="26" fillId="2" borderId="4" xfId="1" applyNumberFormat="1" applyFont="1" applyFill="1" applyBorder="1" applyAlignment="1">
      <alignment horizontal="justify" vertical="center"/>
    </xf>
    <xf numFmtId="166" fontId="26" fillId="2" borderId="5" xfId="1" applyNumberFormat="1" applyFont="1" applyFill="1" applyBorder="1" applyAlignment="1">
      <alignment horizontal="justify" vertical="center"/>
    </xf>
    <xf numFmtId="166" fontId="26" fillId="2" borderId="2" xfId="1" applyNumberFormat="1" applyFont="1" applyFill="1" applyBorder="1" applyAlignment="1">
      <alignment horizontal="justify" vertical="center"/>
    </xf>
    <xf numFmtId="166" fontId="26" fillId="2" borderId="14" xfId="1" applyNumberFormat="1" applyFont="1" applyFill="1" applyBorder="1" applyAlignment="1">
      <alignment horizontal="justify" vertical="center"/>
    </xf>
    <xf numFmtId="166" fontId="26" fillId="2" borderId="1" xfId="0" applyNumberFormat="1" applyFont="1" applyFill="1" applyBorder="1" applyAlignment="1">
      <alignment horizontal="justify" vertical="center" wrapText="1"/>
    </xf>
    <xf numFmtId="170" fontId="26" fillId="2" borderId="1" xfId="0" applyNumberFormat="1" applyFont="1" applyFill="1" applyBorder="1" applyAlignment="1">
      <alignment horizontal="justify" vertical="center" wrapText="1"/>
    </xf>
    <xf numFmtId="166" fontId="26" fillId="2" borderId="1" xfId="1" applyNumberFormat="1" applyFont="1" applyFill="1" applyBorder="1" applyAlignment="1">
      <alignment horizontal="justify" vertical="center" wrapText="1"/>
    </xf>
    <xf numFmtId="166" fontId="23" fillId="2" borderId="1" xfId="0" applyNumberFormat="1" applyFont="1" applyFill="1" applyBorder="1" applyAlignment="1">
      <alignment vertical="center" wrapText="1"/>
    </xf>
    <xf numFmtId="165" fontId="11" fillId="2" borderId="1" xfId="1" applyNumberFormat="1" applyFont="1" applyFill="1" applyBorder="1" applyAlignment="1">
      <alignment horizontal="justify" vertical="center"/>
    </xf>
    <xf numFmtId="165" fontId="26" fillId="2" borderId="1" xfId="3" applyNumberFormat="1" applyFont="1" applyFill="1" applyBorder="1" applyAlignment="1">
      <alignment horizontal="center" vertical="center" wrapText="1"/>
    </xf>
    <xf numFmtId="165" fontId="11" fillId="2" borderId="4" xfId="1" applyNumberFormat="1" applyFont="1" applyFill="1" applyBorder="1" applyAlignment="1">
      <alignment horizontal="justify" vertical="center"/>
    </xf>
    <xf numFmtId="165" fontId="26" fillId="2" borderId="1" xfId="1" applyNumberFormat="1" applyFont="1" applyFill="1" applyBorder="1" applyAlignment="1">
      <alignment horizontal="justify" vertical="center"/>
    </xf>
    <xf numFmtId="165" fontId="11" fillId="2" borderId="1" xfId="1" applyNumberFormat="1" applyFont="1" applyFill="1" applyBorder="1" applyAlignment="1">
      <alignment horizontal="justify" vertical="center" wrapText="1"/>
    </xf>
    <xf numFmtId="165" fontId="11" fillId="2" borderId="1" xfId="0" applyNumberFormat="1" applyFont="1" applyFill="1" applyBorder="1" applyAlignment="1">
      <alignment horizontal="justify" vertical="center" wrapText="1"/>
    </xf>
    <xf numFmtId="0" fontId="9" fillId="0" borderId="1" xfId="0" applyFont="1" applyBorder="1" applyAlignment="1">
      <alignment horizontal="left" vertical="center" wrapText="1"/>
    </xf>
    <xf numFmtId="0" fontId="9" fillId="0" borderId="1" xfId="0" applyFont="1" applyBorder="1" applyAlignment="1">
      <alignment horizontal="right"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30" fillId="2" borderId="0" xfId="0" applyFont="1" applyFill="1"/>
    <xf numFmtId="0" fontId="16" fillId="0" borderId="0" xfId="0" applyFont="1" applyAlignment="1">
      <alignment horizontal="center"/>
    </xf>
    <xf numFmtId="0" fontId="10" fillId="2" borderId="1"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0" fillId="2" borderId="0" xfId="0" applyFill="1" applyAlignment="1">
      <alignment vertical="top"/>
    </xf>
    <xf numFmtId="171" fontId="0" fillId="2" borderId="0" xfId="0" applyNumberFormat="1" applyFill="1"/>
    <xf numFmtId="171" fontId="21" fillId="2" borderId="0" xfId="0" applyNumberFormat="1" applyFont="1" applyFill="1"/>
    <xf numFmtId="171" fontId="7" fillId="2" borderId="0" xfId="0" applyNumberFormat="1" applyFont="1" applyFill="1"/>
    <xf numFmtId="171" fontId="0" fillId="2" borderId="0" xfId="0" applyNumberFormat="1" applyFill="1" applyAlignment="1">
      <alignment vertical="top"/>
    </xf>
    <xf numFmtId="171" fontId="28" fillId="2" borderId="0" xfId="0" applyNumberFormat="1" applyFont="1" applyFill="1"/>
    <xf numFmtId="171" fontId="25" fillId="2" borderId="0" xfId="0" applyNumberFormat="1" applyFont="1" applyFill="1"/>
    <xf numFmtId="0" fontId="25" fillId="2" borderId="0" xfId="0" applyFont="1" applyFill="1"/>
    <xf numFmtId="0" fontId="33" fillId="2" borderId="0" xfId="0" applyFont="1" applyFill="1"/>
    <xf numFmtId="171" fontId="33" fillId="2" borderId="0" xfId="0" applyNumberFormat="1" applyFont="1" applyFill="1"/>
    <xf numFmtId="171" fontId="27" fillId="2" borderId="0" xfId="0" applyNumberFormat="1" applyFont="1" applyFill="1"/>
    <xf numFmtId="0" fontId="14" fillId="2" borderId="0" xfId="0" applyFont="1" applyFill="1"/>
    <xf numFmtId="171" fontId="14" fillId="2" borderId="0" xfId="0" applyNumberFormat="1" applyFont="1" applyFill="1"/>
    <xf numFmtId="171" fontId="25" fillId="2" borderId="16" xfId="0" applyNumberFormat="1" applyFont="1" applyFill="1" applyBorder="1"/>
    <xf numFmtId="174" fontId="26" fillId="2" borderId="1" xfId="3" applyNumberFormat="1" applyFont="1" applyFill="1" applyBorder="1" applyAlignment="1">
      <alignment horizontal="center" vertical="center" wrapText="1"/>
    </xf>
    <xf numFmtId="175" fontId="0" fillId="2" borderId="0" xfId="0" applyNumberFormat="1" applyFill="1"/>
    <xf numFmtId="166" fontId="11" fillId="3" borderId="4" xfId="1" applyNumberFormat="1" applyFont="1" applyFill="1" applyBorder="1" applyAlignment="1">
      <alignment horizontal="justify" vertical="center"/>
    </xf>
    <xf numFmtId="0" fontId="9" fillId="0" borderId="1" xfId="0" applyFont="1" applyBorder="1" applyAlignment="1">
      <alignment horizontal="center"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0" fontId="11" fillId="2" borderId="1" xfId="0" applyFont="1" applyFill="1" applyBorder="1" applyAlignment="1">
      <alignment horizontal="center" vertical="center" wrapText="1"/>
    </xf>
    <xf numFmtId="0" fontId="11" fillId="4" borderId="1" xfId="0" applyFont="1" applyFill="1" applyBorder="1" applyAlignment="1">
      <alignment horizontal="left" vertical="center" wrapText="1"/>
    </xf>
    <xf numFmtId="166" fontId="11" fillId="4" borderId="1" xfId="1" applyNumberFormat="1" applyFont="1" applyFill="1" applyBorder="1" applyAlignment="1">
      <alignment horizontal="justify" vertical="center"/>
    </xf>
    <xf numFmtId="166" fontId="26" fillId="4" borderId="1" xfId="1" applyNumberFormat="1" applyFont="1" applyFill="1" applyBorder="1" applyAlignment="1">
      <alignment horizontal="justify" vertical="center"/>
    </xf>
    <xf numFmtId="166" fontId="19" fillId="4" borderId="1" xfId="1" applyNumberFormat="1" applyFont="1" applyFill="1" applyBorder="1" applyAlignment="1">
      <alignment horizontal="justify" vertical="center"/>
    </xf>
    <xf numFmtId="0" fontId="10" fillId="4" borderId="1" xfId="0" applyFont="1" applyFill="1" applyBorder="1" applyAlignment="1">
      <alignment horizontal="left" vertical="center" wrapText="1"/>
    </xf>
    <xf numFmtId="0" fontId="11" fillId="6" borderId="1" xfId="0" applyFont="1" applyFill="1" applyBorder="1" applyAlignment="1">
      <alignment horizontal="left" vertical="center" wrapText="1"/>
    </xf>
    <xf numFmtId="166" fontId="11" fillId="6" borderId="1" xfId="1" applyNumberFormat="1" applyFont="1" applyFill="1" applyBorder="1" applyAlignment="1">
      <alignment horizontal="justify" vertical="center"/>
    </xf>
    <xf numFmtId="166" fontId="26" fillId="6" borderId="1" xfId="1" applyNumberFormat="1" applyFont="1" applyFill="1" applyBorder="1" applyAlignment="1">
      <alignment horizontal="justify" vertical="center"/>
    </xf>
    <xf numFmtId="166" fontId="11" fillId="6" borderId="4" xfId="1" applyNumberFormat="1" applyFont="1" applyFill="1" applyBorder="1" applyAlignment="1">
      <alignment horizontal="justify" vertical="center"/>
    </xf>
    <xf numFmtId="166" fontId="11" fillId="6" borderId="11" xfId="1" applyNumberFormat="1" applyFont="1" applyFill="1" applyBorder="1" applyAlignment="1">
      <alignment horizontal="justify" vertical="center"/>
    </xf>
    <xf numFmtId="166" fontId="11" fillId="4" borderId="5" xfId="1" applyNumberFormat="1" applyFont="1" applyFill="1" applyBorder="1" applyAlignment="1">
      <alignment horizontal="justify" vertical="center"/>
    </xf>
    <xf numFmtId="0" fontId="11" fillId="7" borderId="1" xfId="0" applyFont="1" applyFill="1" applyBorder="1" applyAlignment="1">
      <alignment horizontal="left" vertical="center" wrapText="1"/>
    </xf>
    <xf numFmtId="166" fontId="11" fillId="7" borderId="1" xfId="1" applyNumberFormat="1" applyFont="1" applyFill="1" applyBorder="1" applyAlignment="1">
      <alignment horizontal="justify" vertical="center"/>
    </xf>
    <xf numFmtId="166" fontId="26" fillId="7" borderId="1" xfId="1" applyNumberFormat="1" applyFont="1" applyFill="1" applyBorder="1" applyAlignment="1">
      <alignment horizontal="justify" vertical="center"/>
    </xf>
    <xf numFmtId="169" fontId="26" fillId="4" borderId="1" xfId="3"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166" fontId="11" fillId="10" borderId="1" xfId="1" applyNumberFormat="1" applyFont="1" applyFill="1" applyBorder="1" applyAlignment="1">
      <alignment horizontal="justify" vertical="center"/>
    </xf>
    <xf numFmtId="166" fontId="26" fillId="4" borderId="5" xfId="1" applyNumberFormat="1" applyFont="1" applyFill="1" applyBorder="1" applyAlignment="1">
      <alignment horizontal="justify" vertical="center"/>
    </xf>
    <xf numFmtId="0" fontId="0" fillId="4" borderId="0" xfId="0" applyFill="1"/>
    <xf numFmtId="0" fontId="34" fillId="2" borderId="1" xfId="0" applyFont="1" applyFill="1" applyBorder="1" applyAlignment="1">
      <alignment horizontal="center" vertical="center" wrapText="1"/>
    </xf>
    <xf numFmtId="0" fontId="41" fillId="2" borderId="1" xfId="0" applyFont="1" applyFill="1" applyBorder="1" applyAlignment="1">
      <alignment horizontal="center" vertical="center"/>
    </xf>
    <xf numFmtId="166" fontId="34" fillId="2" borderId="1" xfId="1" applyNumberFormat="1" applyFont="1" applyFill="1" applyBorder="1" applyAlignment="1">
      <alignment horizontal="justify" vertical="center"/>
    </xf>
    <xf numFmtId="171" fontId="30" fillId="2" borderId="0" xfId="0" applyNumberFormat="1" applyFont="1" applyFill="1"/>
    <xf numFmtId="166" fontId="42" fillId="2" borderId="1" xfId="1" applyNumberFormat="1" applyFont="1" applyFill="1" applyBorder="1" applyAlignment="1">
      <alignment horizontal="justify" vertical="center"/>
    </xf>
    <xf numFmtId="166" fontId="34" fillId="4" borderId="1" xfId="1" applyNumberFormat="1" applyFont="1" applyFill="1" applyBorder="1" applyAlignment="1">
      <alignment horizontal="justify" vertical="center"/>
    </xf>
    <xf numFmtId="170" fontId="0" fillId="4" borderId="0" xfId="0" applyNumberFormat="1" applyFill="1"/>
    <xf numFmtId="171" fontId="0" fillId="4" borderId="0" xfId="0" applyNumberFormat="1" applyFill="1"/>
    <xf numFmtId="165" fontId="11" fillId="6" borderId="1" xfId="1" applyNumberFormat="1" applyFont="1" applyFill="1" applyBorder="1" applyAlignment="1">
      <alignment horizontal="justify" vertical="center"/>
    </xf>
    <xf numFmtId="166" fontId="34" fillId="6" borderId="1" xfId="1" applyNumberFormat="1" applyFont="1" applyFill="1" applyBorder="1" applyAlignment="1">
      <alignment horizontal="justify" vertical="center"/>
    </xf>
    <xf numFmtId="166" fontId="34" fillId="3" borderId="1" xfId="1" applyNumberFormat="1" applyFont="1" applyFill="1" applyBorder="1" applyAlignment="1">
      <alignment horizontal="justify" vertical="center"/>
    </xf>
    <xf numFmtId="166" fontId="34" fillId="2" borderId="14" xfId="1" applyNumberFormat="1" applyFont="1" applyFill="1" applyBorder="1" applyAlignment="1">
      <alignment horizontal="justify" vertical="center"/>
    </xf>
    <xf numFmtId="169" fontId="34" fillId="8" borderId="14" xfId="3" applyNumberFormat="1" applyFont="1" applyFill="1" applyBorder="1" applyAlignment="1">
      <alignment horizontal="center" vertical="center" wrapText="1"/>
    </xf>
    <xf numFmtId="169" fontId="34" fillId="2" borderId="14" xfId="3" applyNumberFormat="1" applyFont="1" applyFill="1" applyBorder="1" applyAlignment="1">
      <alignment horizontal="center" vertical="center" wrapText="1"/>
    </xf>
    <xf numFmtId="166" fontId="34" fillId="2" borderId="4" xfId="1" applyNumberFormat="1" applyFont="1" applyFill="1" applyBorder="1" applyAlignment="1">
      <alignment horizontal="justify" vertical="center"/>
    </xf>
    <xf numFmtId="165" fontId="11" fillId="4" borderId="1" xfId="1" applyNumberFormat="1" applyFont="1" applyFill="1" applyBorder="1" applyAlignment="1">
      <alignment horizontal="justify" vertical="center"/>
    </xf>
    <xf numFmtId="166" fontId="34" fillId="8" borderId="1" xfId="1" applyNumberFormat="1" applyFont="1" applyFill="1" applyBorder="1" applyAlignment="1">
      <alignment horizontal="justify" vertical="center"/>
    </xf>
    <xf numFmtId="166" fontId="34" fillId="2" borderId="5" xfId="1" applyNumberFormat="1" applyFont="1" applyFill="1" applyBorder="1" applyAlignment="1">
      <alignment horizontal="justify" vertical="center"/>
    </xf>
    <xf numFmtId="0" fontId="7" fillId="4" borderId="0" xfId="0" applyFont="1" applyFill="1"/>
    <xf numFmtId="171" fontId="7" fillId="4" borderId="0" xfId="0" applyNumberFormat="1" applyFont="1" applyFill="1"/>
    <xf numFmtId="0" fontId="7" fillId="6" borderId="0" xfId="0" applyFont="1" applyFill="1"/>
    <xf numFmtId="170" fontId="0" fillId="6" borderId="0" xfId="0" applyNumberFormat="1" applyFill="1"/>
    <xf numFmtId="171" fontId="7" fillId="6" borderId="0" xfId="0" applyNumberFormat="1" applyFont="1" applyFill="1"/>
    <xf numFmtId="166" fontId="34" fillId="8" borderId="14" xfId="1" applyNumberFormat="1" applyFont="1" applyFill="1" applyBorder="1" applyAlignment="1">
      <alignment horizontal="justify" vertical="center"/>
    </xf>
    <xf numFmtId="166" fontId="11" fillId="4" borderId="14" xfId="1" applyNumberFormat="1" applyFont="1" applyFill="1" applyBorder="1" applyAlignment="1">
      <alignment horizontal="justify" vertical="center"/>
    </xf>
    <xf numFmtId="0" fontId="0" fillId="6" borderId="0" xfId="0" applyFill="1"/>
    <xf numFmtId="169" fontId="34" fillId="3" borderId="1" xfId="3" applyNumberFormat="1" applyFont="1" applyFill="1" applyBorder="1" applyAlignment="1">
      <alignment horizontal="center" vertical="center" wrapText="1"/>
    </xf>
    <xf numFmtId="169" fontId="34" fillId="9" borderId="1" xfId="3" applyNumberFormat="1" applyFont="1" applyFill="1" applyBorder="1" applyAlignment="1">
      <alignment horizontal="center" vertical="center" wrapText="1"/>
    </xf>
    <xf numFmtId="169" fontId="26" fillId="4" borderId="5" xfId="3" applyNumberFormat="1" applyFont="1" applyFill="1" applyBorder="1" applyAlignment="1">
      <alignment horizontal="center" vertical="center" wrapText="1"/>
    </xf>
    <xf numFmtId="169" fontId="34" fillId="4" borderId="1" xfId="3" applyNumberFormat="1" applyFont="1" applyFill="1" applyBorder="1" applyAlignment="1">
      <alignment horizontal="center" vertical="center" wrapText="1"/>
    </xf>
    <xf numFmtId="169" fontId="34" fillId="2" borderId="4" xfId="3" applyNumberFormat="1" applyFont="1" applyFill="1" applyBorder="1" applyAlignment="1">
      <alignment horizontal="center" vertical="center" wrapText="1"/>
    </xf>
    <xf numFmtId="169" fontId="34" fillId="3" borderId="4" xfId="3" applyNumberFormat="1" applyFont="1" applyFill="1" applyBorder="1" applyAlignment="1">
      <alignment horizontal="center" vertical="center" wrapText="1"/>
    </xf>
    <xf numFmtId="169" fontId="34" fillId="9" borderId="4" xfId="3" applyNumberFormat="1" applyFont="1" applyFill="1" applyBorder="1" applyAlignment="1">
      <alignment horizontal="center" vertical="center" wrapText="1"/>
    </xf>
    <xf numFmtId="169" fontId="26" fillId="4" borderId="11" xfId="3" applyNumberFormat="1" applyFont="1" applyFill="1" applyBorder="1" applyAlignment="1">
      <alignment horizontal="center" vertical="center" wrapText="1"/>
    </xf>
    <xf numFmtId="172" fontId="0" fillId="4" borderId="0" xfId="0" applyNumberFormat="1" applyFill="1"/>
    <xf numFmtId="169" fontId="26" fillId="4" borderId="4" xfId="3" applyNumberFormat="1" applyFont="1" applyFill="1" applyBorder="1" applyAlignment="1">
      <alignment horizontal="center" vertical="center" wrapText="1"/>
    </xf>
    <xf numFmtId="166" fontId="42" fillId="4" borderId="1" xfId="1" applyNumberFormat="1" applyFont="1" applyFill="1" applyBorder="1" applyAlignment="1">
      <alignment horizontal="justify" vertical="center"/>
    </xf>
    <xf numFmtId="166" fontId="34" fillId="9" borderId="1" xfId="1" applyNumberFormat="1" applyFont="1" applyFill="1" applyBorder="1" applyAlignment="1">
      <alignment horizontal="justify" vertical="center"/>
    </xf>
    <xf numFmtId="0" fontId="26" fillId="6" borderId="1" xfId="0" applyFont="1" applyFill="1" applyBorder="1" applyAlignment="1">
      <alignment horizontal="left" vertical="center" wrapText="1"/>
    </xf>
    <xf numFmtId="165" fontId="26" fillId="6" borderId="1" xfId="1" applyNumberFormat="1" applyFont="1" applyFill="1" applyBorder="1" applyAlignment="1">
      <alignment horizontal="justify" vertical="center"/>
    </xf>
    <xf numFmtId="0" fontId="28" fillId="6" borderId="0" xfId="0" applyFont="1" applyFill="1"/>
    <xf numFmtId="170" fontId="34" fillId="3" borderId="1" xfId="1" applyNumberFormat="1" applyFont="1" applyFill="1" applyBorder="1" applyAlignment="1">
      <alignment horizontal="justify" vertical="center"/>
    </xf>
    <xf numFmtId="169" fontId="26" fillId="4" borderId="14" xfId="3" applyNumberFormat="1" applyFont="1" applyFill="1" applyBorder="1" applyAlignment="1">
      <alignment horizontal="center" vertical="center" wrapText="1"/>
    </xf>
    <xf numFmtId="171" fontId="0" fillId="4" borderId="16" xfId="0" applyNumberFormat="1" applyFill="1" applyBorder="1"/>
    <xf numFmtId="169" fontId="26" fillId="4" borderId="10" xfId="3" applyNumberFormat="1" applyFont="1" applyFill="1" applyBorder="1" applyAlignment="1">
      <alignment horizontal="center" vertical="center" wrapText="1"/>
    </xf>
    <xf numFmtId="173" fontId="0" fillId="4" borderId="0" xfId="0" applyNumberFormat="1" applyFill="1"/>
    <xf numFmtId="171" fontId="0" fillId="6" borderId="0" xfId="0" applyNumberFormat="1" applyFill="1"/>
    <xf numFmtId="166" fontId="34" fillId="2" borderId="2" xfId="1" applyNumberFormat="1" applyFont="1" applyFill="1" applyBorder="1" applyAlignment="1">
      <alignment horizontal="justify" vertical="center"/>
    </xf>
    <xf numFmtId="166" fontId="26" fillId="4" borderId="14" xfId="1" applyNumberFormat="1" applyFont="1" applyFill="1" applyBorder="1" applyAlignment="1">
      <alignment horizontal="justify" vertical="center"/>
    </xf>
    <xf numFmtId="169" fontId="34" fillId="4" borderId="4" xfId="3" applyNumberFormat="1" applyFont="1" applyFill="1" applyBorder="1" applyAlignment="1">
      <alignment horizontal="center" vertical="center" wrapText="1"/>
    </xf>
    <xf numFmtId="165" fontId="11" fillId="7" borderId="1" xfId="1" applyNumberFormat="1" applyFont="1" applyFill="1" applyBorder="1" applyAlignment="1">
      <alignment horizontal="justify" vertical="center"/>
    </xf>
    <xf numFmtId="166" fontId="34" fillId="7" borderId="1" xfId="1" applyNumberFormat="1" applyFont="1" applyFill="1" applyBorder="1" applyAlignment="1">
      <alignment horizontal="justify" vertical="center"/>
    </xf>
    <xf numFmtId="0" fontId="0" fillId="7" borderId="0" xfId="0" applyFill="1"/>
    <xf numFmtId="170" fontId="0" fillId="7" borderId="0" xfId="0" applyNumberFormat="1" applyFill="1"/>
    <xf numFmtId="171" fontId="0" fillId="7" borderId="0" xfId="0" applyNumberFormat="1" applyFill="1"/>
    <xf numFmtId="0" fontId="10" fillId="7" borderId="1" xfId="0" applyFont="1" applyFill="1" applyBorder="1" applyAlignment="1">
      <alignment horizontal="left" vertical="center" wrapText="1"/>
    </xf>
    <xf numFmtId="0" fontId="34" fillId="2" borderId="1" xfId="0" applyFont="1" applyFill="1" applyBorder="1" applyAlignment="1">
      <alignment horizontal="justify" vertical="center"/>
    </xf>
    <xf numFmtId="166" fontId="34" fillId="2" borderId="1" xfId="1" applyNumberFormat="1" applyFont="1" applyFill="1" applyBorder="1" applyAlignment="1">
      <alignment horizontal="justify" vertical="center" wrapText="1"/>
    </xf>
    <xf numFmtId="0" fontId="34" fillId="2" borderId="1" xfId="0" applyFont="1" applyFill="1" applyBorder="1" applyAlignment="1">
      <alignment horizontal="justify" vertical="center" wrapText="1"/>
    </xf>
    <xf numFmtId="170" fontId="34" fillId="3" borderId="1" xfId="0" applyNumberFormat="1" applyFont="1" applyFill="1" applyBorder="1" applyAlignment="1">
      <alignment horizontal="justify" vertical="center" wrapText="1"/>
    </xf>
    <xf numFmtId="170" fontId="34" fillId="2" borderId="1" xfId="0" applyNumberFormat="1" applyFont="1" applyFill="1" applyBorder="1" applyAlignment="1">
      <alignment horizontal="justify" vertical="center" wrapText="1"/>
    </xf>
    <xf numFmtId="166" fontId="34" fillId="2" borderId="1" xfId="0" applyNumberFormat="1" applyFont="1" applyFill="1" applyBorder="1" applyAlignment="1">
      <alignment horizontal="justify" vertical="center" wrapText="1"/>
    </xf>
    <xf numFmtId="166" fontId="34" fillId="3" borderId="1" xfId="0" applyNumberFormat="1" applyFont="1" applyFill="1" applyBorder="1" applyAlignment="1">
      <alignment horizontal="justify" vertical="center" wrapText="1"/>
    </xf>
    <xf numFmtId="170" fontId="34" fillId="2" borderId="1" xfId="1" applyNumberFormat="1" applyFont="1" applyFill="1" applyBorder="1" applyAlignment="1">
      <alignment horizontal="justify" vertical="center" wrapText="1"/>
    </xf>
    <xf numFmtId="0" fontId="43" fillId="2" borderId="0" xfId="0" applyFont="1" applyFill="1"/>
    <xf numFmtId="170" fontId="33" fillId="2" borderId="0" xfId="0" applyNumberFormat="1" applyFont="1" applyFill="1"/>
    <xf numFmtId="170" fontId="44" fillId="2" borderId="0" xfId="0" applyNumberFormat="1" applyFont="1" applyFill="1"/>
    <xf numFmtId="170" fontId="45" fillId="2" borderId="0" xfId="0" applyNumberFormat="1" applyFont="1" applyFill="1"/>
    <xf numFmtId="0" fontId="45" fillId="2" borderId="0" xfId="0" applyFont="1" applyFill="1"/>
    <xf numFmtId="0" fontId="8" fillId="2" borderId="0" xfId="12" applyFill="1" applyAlignment="1">
      <alignment horizontal="center"/>
    </xf>
    <xf numFmtId="0" fontId="8" fillId="2" borderId="0" xfId="12" applyFill="1" applyAlignment="1">
      <alignment horizontal="left"/>
    </xf>
    <xf numFmtId="0" fontId="8" fillId="2" borderId="0" xfId="12" applyFill="1"/>
    <xf numFmtId="0" fontId="28" fillId="2" borderId="0" xfId="12" applyFont="1" applyFill="1"/>
    <xf numFmtId="0" fontId="16" fillId="2" borderId="0" xfId="12" applyFont="1" applyFill="1" applyAlignment="1">
      <alignment horizontal="right" vertical="center"/>
    </xf>
    <xf numFmtId="0" fontId="16" fillId="2" borderId="0" xfId="12" applyFont="1" applyFill="1" applyAlignment="1">
      <alignment horizontal="center" vertical="center"/>
    </xf>
    <xf numFmtId="0" fontId="20" fillId="2" borderId="19" xfId="12" applyFont="1" applyFill="1" applyBorder="1" applyAlignment="1">
      <alignment horizontal="center" vertical="center"/>
    </xf>
    <xf numFmtId="0" fontId="39" fillId="2" borderId="19" xfId="12" applyFont="1" applyFill="1" applyBorder="1" applyAlignment="1">
      <alignment horizontal="center" vertical="center"/>
    </xf>
    <xf numFmtId="0" fontId="21" fillId="2" borderId="0" xfId="12" applyFont="1" applyFill="1"/>
    <xf numFmtId="166" fontId="40" fillId="2" borderId="19" xfId="13" applyNumberFormat="1" applyFont="1" applyFill="1" applyBorder="1" applyAlignment="1">
      <alignment horizontal="justify" vertical="center"/>
    </xf>
    <xf numFmtId="166" fontId="26" fillId="2" borderId="19" xfId="13" applyNumberFormat="1" applyFont="1" applyFill="1" applyBorder="1" applyAlignment="1">
      <alignment horizontal="justify" vertical="center"/>
    </xf>
    <xf numFmtId="0" fontId="7" fillId="2" borderId="0" xfId="12" applyFont="1" applyFill="1"/>
    <xf numFmtId="0" fontId="7" fillId="0" borderId="0" xfId="12" applyFont="1" applyFill="1"/>
    <xf numFmtId="0" fontId="8" fillId="0" borderId="0" xfId="12" applyFill="1"/>
    <xf numFmtId="0" fontId="40" fillId="2" borderId="19" xfId="12" applyFont="1" applyFill="1" applyBorder="1" applyAlignment="1">
      <alignment horizontal="left" vertical="center" wrapText="1"/>
    </xf>
    <xf numFmtId="0" fontId="28" fillId="0" borderId="0" xfId="12" applyFont="1" applyFill="1"/>
    <xf numFmtId="166" fontId="40" fillId="2" borderId="19" xfId="13" applyNumberFormat="1" applyFont="1" applyFill="1" applyBorder="1" applyAlignment="1">
      <alignment horizontal="justify"/>
    </xf>
    <xf numFmtId="166" fontId="26" fillId="2" borderId="19" xfId="13" applyNumberFormat="1" applyFont="1" applyFill="1" applyBorder="1" applyAlignment="1">
      <alignment horizontal="justify"/>
    </xf>
    <xf numFmtId="166" fontId="26" fillId="2" borderId="19" xfId="13" applyNumberFormat="1" applyFont="1" applyFill="1" applyBorder="1" applyAlignment="1">
      <alignment vertical="center" wrapText="1"/>
    </xf>
    <xf numFmtId="170" fontId="8" fillId="2" borderId="0" xfId="12" applyNumberFormat="1" applyFill="1"/>
    <xf numFmtId="0" fontId="9" fillId="2" borderId="0" xfId="12" applyFont="1" applyFill="1" applyAlignment="1">
      <alignment horizontal="center"/>
    </xf>
    <xf numFmtId="0" fontId="9" fillId="2" borderId="0" xfId="12" applyFont="1" applyFill="1" applyAlignment="1">
      <alignment horizontal="left"/>
    </xf>
    <xf numFmtId="0" fontId="9" fillId="2" borderId="0" xfId="12" applyFont="1" applyFill="1"/>
    <xf numFmtId="0" fontId="23" fillId="2" borderId="0" xfId="12" applyFont="1" applyFill="1"/>
    <xf numFmtId="170" fontId="28" fillId="2" borderId="0" xfId="12" applyNumberFormat="1" applyFont="1" applyFill="1"/>
    <xf numFmtId="0" fontId="47" fillId="0" borderId="0" xfId="0" applyFont="1" applyAlignment="1"/>
    <xf numFmtId="0" fontId="47" fillId="0" borderId="0" xfId="0" applyFont="1"/>
    <xf numFmtId="166" fontId="40"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center"/>
    </xf>
    <xf numFmtId="0" fontId="11" fillId="2" borderId="19" xfId="12" applyFont="1" applyFill="1" applyBorder="1" applyAlignment="1">
      <alignment horizontal="center" vertical="center" wrapText="1"/>
    </xf>
    <xf numFmtId="169" fontId="26" fillId="2" borderId="19" xfId="24" applyNumberFormat="1" applyFont="1" applyFill="1" applyBorder="1" applyAlignment="1">
      <alignment horizontal="center" vertical="center" wrapText="1"/>
    </xf>
    <xf numFmtId="0" fontId="26" fillId="2" borderId="19" xfId="12" applyFont="1" applyFill="1" applyBorder="1" applyAlignment="1">
      <alignment horizontal="justify" vertical="center"/>
    </xf>
    <xf numFmtId="166" fontId="26" fillId="2" borderId="19" xfId="13" applyNumberFormat="1" applyFont="1" applyFill="1" applyBorder="1" applyAlignment="1">
      <alignment horizontal="justify" vertical="center" wrapText="1"/>
    </xf>
    <xf numFmtId="166" fontId="26" fillId="2" borderId="19" xfId="13" applyNumberFormat="1" applyFont="1" applyFill="1" applyBorder="1" applyAlignment="1">
      <alignment horizontal="left" vertical="center" wrapText="1"/>
    </xf>
    <xf numFmtId="166" fontId="26" fillId="2" borderId="19" xfId="12" applyNumberFormat="1" applyFont="1" applyFill="1" applyBorder="1" applyAlignment="1">
      <alignment horizontal="justify" vertical="center" wrapText="1"/>
    </xf>
    <xf numFmtId="0" fontId="26" fillId="2" borderId="19" xfId="12" applyFont="1" applyFill="1" applyBorder="1" applyAlignment="1">
      <alignment horizontal="justify" vertical="center" wrapText="1"/>
    </xf>
    <xf numFmtId="170" fontId="26" fillId="2" borderId="19" xfId="12" applyNumberFormat="1" applyFont="1" applyFill="1" applyBorder="1" applyAlignment="1">
      <alignment horizontal="justify" vertical="center" wrapText="1"/>
    </xf>
    <xf numFmtId="170" fontId="8" fillId="0" borderId="0" xfId="12" applyNumberFormat="1" applyFill="1"/>
    <xf numFmtId="0" fontId="11" fillId="0" borderId="19" xfId="0" applyFont="1" applyBorder="1" applyAlignment="1">
      <alignment horizontal="center" vertical="center" wrapText="1"/>
    </xf>
    <xf numFmtId="0" fontId="11" fillId="0" borderId="19" xfId="0" applyFont="1" applyBorder="1" applyAlignment="1">
      <alignment vertical="center" wrapText="1"/>
    </xf>
    <xf numFmtId="0" fontId="11" fillId="0" borderId="19" xfId="0" applyFont="1" applyBorder="1" applyAlignment="1">
      <alignment horizontal="left" vertical="center" wrapText="1"/>
    </xf>
    <xf numFmtId="0" fontId="11" fillId="0" borderId="19" xfId="0" applyFont="1" applyFill="1" applyBorder="1" applyAlignment="1">
      <alignment horizontal="left" vertical="top" wrapText="1"/>
    </xf>
    <xf numFmtId="0" fontId="26" fillId="0" borderId="19" xfId="0" applyFont="1" applyBorder="1" applyAlignment="1">
      <alignment horizontal="center" vertical="center" wrapText="1"/>
    </xf>
    <xf numFmtId="0" fontId="26" fillId="0" borderId="19" xfId="0" applyFont="1" applyBorder="1" applyAlignment="1">
      <alignment vertical="center" wrapText="1"/>
    </xf>
    <xf numFmtId="0" fontId="26" fillId="0" borderId="19" xfId="0" applyFont="1" applyBorder="1" applyAlignment="1">
      <alignment horizontal="left" vertical="center" wrapText="1"/>
    </xf>
    <xf numFmtId="0" fontId="0" fillId="0" borderId="19" xfId="0" applyBorder="1" applyAlignment="1">
      <alignment vertical="center"/>
    </xf>
    <xf numFmtId="177" fontId="0" fillId="0" borderId="0" xfId="0" applyNumberFormat="1"/>
    <xf numFmtId="170" fontId="0" fillId="0" borderId="0" xfId="0" applyNumberFormat="1"/>
    <xf numFmtId="0" fontId="47" fillId="0" borderId="0" xfId="0" applyFont="1" applyBorder="1" applyAlignment="1"/>
    <xf numFmtId="0" fontId="10" fillId="0" borderId="19" xfId="0" applyFont="1" applyBorder="1" applyAlignment="1">
      <alignment horizontal="center" vertical="center" wrapText="1"/>
    </xf>
    <xf numFmtId="0" fontId="18" fillId="0" borderId="19" xfId="0" applyFont="1" applyBorder="1" applyAlignment="1">
      <alignment horizontal="center" vertical="center" wrapText="1"/>
    </xf>
    <xf numFmtId="164" fontId="10" fillId="0" borderId="19" xfId="0" applyNumberFormat="1" applyFont="1" applyBorder="1" applyAlignment="1">
      <alignment vertical="center" wrapText="1"/>
    </xf>
    <xf numFmtId="164" fontId="10" fillId="0" borderId="19" xfId="1" applyNumberFormat="1" applyFont="1" applyBorder="1" applyAlignment="1">
      <alignment vertical="center" wrapText="1"/>
    </xf>
    <xf numFmtId="165" fontId="11" fillId="0" borderId="19" xfId="1" applyFont="1" applyBorder="1" applyAlignment="1">
      <alignment horizontal="center" vertical="center" wrapText="1"/>
    </xf>
    <xf numFmtId="0" fontId="0" fillId="0" borderId="19" xfId="0" applyBorder="1" applyAlignment="1">
      <alignment vertical="center" wrapText="1"/>
    </xf>
    <xf numFmtId="0" fontId="11" fillId="0" borderId="19" xfId="0" applyFont="1" applyFill="1" applyBorder="1" applyAlignment="1">
      <alignment horizontal="center" vertical="center" wrapText="1"/>
    </xf>
    <xf numFmtId="170" fontId="7" fillId="2" borderId="0" xfId="12" applyNumberFormat="1" applyFont="1" applyFill="1"/>
    <xf numFmtId="177" fontId="8" fillId="2" borderId="0" xfId="12" applyNumberFormat="1" applyFill="1"/>
    <xf numFmtId="170" fontId="7" fillId="0" borderId="0" xfId="12" applyNumberFormat="1" applyFont="1" applyFill="1"/>
    <xf numFmtId="0" fontId="26" fillId="2" borderId="19" xfId="0" applyFont="1" applyFill="1" applyBorder="1" applyAlignment="1">
      <alignment horizontal="center" vertical="center" wrapText="1"/>
    </xf>
    <xf numFmtId="0" fontId="26" fillId="2" borderId="19" xfId="0" applyFont="1" applyFill="1" applyBorder="1" applyAlignment="1">
      <alignment horizontal="left" vertical="center" wrapText="1"/>
    </xf>
    <xf numFmtId="0" fontId="48" fillId="0" borderId="0" xfId="0" applyFont="1" applyAlignment="1"/>
    <xf numFmtId="0" fontId="11" fillId="0" borderId="19" xfId="0" applyFont="1" applyBorder="1" applyAlignment="1">
      <alignment horizontal="left" vertical="top" wrapText="1"/>
    </xf>
    <xf numFmtId="0" fontId="26" fillId="2" borderId="19" xfId="12" applyFont="1" applyFill="1" applyBorder="1" applyAlignment="1">
      <alignment horizontal="center" vertical="center" wrapText="1"/>
    </xf>
    <xf numFmtId="170" fontId="0" fillId="2" borderId="0" xfId="12" applyNumberFormat="1" applyFont="1" applyFill="1"/>
    <xf numFmtId="0" fontId="11" fillId="0" borderId="19" xfId="0" applyFont="1" applyBorder="1" applyAlignment="1">
      <alignment horizontal="center" vertical="center" wrapText="1"/>
    </xf>
    <xf numFmtId="170" fontId="26" fillId="2" borderId="19" xfId="1" applyNumberFormat="1" applyFont="1" applyFill="1" applyBorder="1" applyAlignment="1">
      <alignment horizontal="right" vertical="center" wrapText="1"/>
    </xf>
    <xf numFmtId="170" fontId="40" fillId="2" borderId="19" xfId="1" applyNumberFormat="1" applyFont="1" applyFill="1" applyBorder="1" applyAlignment="1">
      <alignment horizontal="right" vertical="center" wrapText="1"/>
    </xf>
    <xf numFmtId="165" fontId="40" fillId="2" borderId="19" xfId="1" applyFont="1" applyFill="1" applyBorder="1" applyAlignment="1">
      <alignment horizontal="left" vertical="center" wrapText="1"/>
    </xf>
    <xf numFmtId="165" fontId="26" fillId="2" borderId="19" xfId="1" applyFont="1" applyFill="1" applyBorder="1" applyAlignment="1">
      <alignment horizontal="left" vertical="center" wrapText="1"/>
    </xf>
    <xf numFmtId="0" fontId="8" fillId="0" borderId="28" xfId="12" applyFill="1" applyBorder="1" applyAlignment="1"/>
    <xf numFmtId="169" fontId="26" fillId="2" borderId="19" xfId="24" applyNumberFormat="1" applyFont="1" applyFill="1" applyBorder="1" applyAlignment="1">
      <alignment vertical="center" wrapText="1"/>
    </xf>
    <xf numFmtId="178" fontId="8" fillId="0" borderId="0" xfId="12" applyNumberFormat="1" applyFill="1"/>
    <xf numFmtId="166" fontId="26" fillId="2" borderId="0" xfId="13" applyNumberFormat="1" applyFont="1" applyFill="1" applyBorder="1" applyAlignment="1">
      <alignment horizontal="justify" vertical="center"/>
    </xf>
    <xf numFmtId="0" fontId="26" fillId="2" borderId="19" xfId="12" applyFont="1" applyFill="1" applyBorder="1" applyAlignment="1">
      <alignment horizontal="center" vertical="center" wrapText="1"/>
    </xf>
    <xf numFmtId="170" fontId="40" fillId="2" borderId="19" xfId="13" applyNumberFormat="1" applyFont="1" applyFill="1" applyBorder="1" applyAlignment="1">
      <alignment horizontal="justify"/>
    </xf>
    <xf numFmtId="170" fontId="26" fillId="2" borderId="19" xfId="13" applyNumberFormat="1" applyFont="1" applyFill="1" applyBorder="1" applyAlignment="1">
      <alignment horizontal="justify"/>
    </xf>
    <xf numFmtId="170" fontId="40" fillId="2" borderId="19" xfId="13" applyNumberFormat="1" applyFont="1" applyFill="1" applyBorder="1" applyAlignment="1">
      <alignment horizontal="justify" vertical="center"/>
    </xf>
    <xf numFmtId="170" fontId="26" fillId="2" borderId="19" xfId="13" applyNumberFormat="1" applyFont="1" applyFill="1" applyBorder="1" applyAlignment="1">
      <alignment horizontal="justify" vertical="center"/>
    </xf>
    <xf numFmtId="166" fontId="40" fillId="2" borderId="19" xfId="1" applyNumberFormat="1" applyFont="1" applyFill="1" applyBorder="1" applyAlignment="1">
      <alignment horizontal="justify" vertical="center"/>
    </xf>
    <xf numFmtId="170" fontId="26" fillId="2" borderId="19" xfId="13" applyNumberFormat="1" applyFont="1" applyFill="1" applyBorder="1" applyAlignment="1">
      <alignment horizontal="center"/>
    </xf>
    <xf numFmtId="0" fontId="40" fillId="0" borderId="0" xfId="0" applyFont="1" applyAlignment="1">
      <alignment horizontal="center" vertical="center"/>
    </xf>
    <xf numFmtId="0" fontId="26" fillId="0" borderId="0" xfId="0" applyFont="1" applyAlignment="1">
      <alignment horizontal="justify" vertical="center"/>
    </xf>
    <xf numFmtId="170" fontId="26" fillId="0" borderId="19" xfId="0" applyNumberFormat="1" applyFont="1" applyBorder="1" applyAlignment="1">
      <alignment horizontal="right" vertical="center" wrapText="1"/>
    </xf>
    <xf numFmtId="166" fontId="26" fillId="2" borderId="19" xfId="13" applyNumberFormat="1" applyFont="1" applyFill="1" applyBorder="1" applyAlignment="1">
      <alignment wrapText="1"/>
    </xf>
    <xf numFmtId="0" fontId="26" fillId="0" borderId="19" xfId="0" applyFont="1" applyBorder="1" applyAlignment="1">
      <alignment horizontal="center" vertical="center" wrapText="1"/>
    </xf>
    <xf numFmtId="170" fontId="26" fillId="2" borderId="14" xfId="13" applyNumberFormat="1" applyFont="1" applyFill="1" applyBorder="1" applyAlignment="1">
      <alignment horizontal="center" vertical="center" wrapText="1"/>
    </xf>
    <xf numFmtId="170" fontId="26" fillId="2" borderId="19" xfId="13" applyNumberFormat="1" applyFont="1" applyFill="1" applyBorder="1" applyAlignment="1">
      <alignment horizontal="center" vertical="center" wrapText="1"/>
    </xf>
    <xf numFmtId="0" fontId="49" fillId="0" borderId="19" xfId="0" applyFont="1" applyBorder="1" applyAlignment="1">
      <alignment horizontal="left" vertical="center" wrapText="1"/>
    </xf>
    <xf numFmtId="170" fontId="40" fillId="0" borderId="19" xfId="0" applyNumberFormat="1" applyFont="1" applyBorder="1" applyAlignment="1">
      <alignment horizontal="right" vertical="center" wrapText="1"/>
    </xf>
    <xf numFmtId="0" fontId="26" fillId="0" borderId="19" xfId="0" applyFont="1" applyBorder="1" applyAlignment="1">
      <alignment horizontal="center" vertical="center" wrapText="1"/>
    </xf>
    <xf numFmtId="0" fontId="26" fillId="0" borderId="19" xfId="0" applyFont="1" applyBorder="1" applyAlignment="1">
      <alignment horizontal="center" vertical="center" wrapText="1"/>
    </xf>
    <xf numFmtId="0" fontId="26" fillId="2" borderId="19" xfId="12" applyFont="1" applyFill="1" applyBorder="1" applyAlignment="1">
      <alignment horizontal="left" vertical="center" wrapText="1"/>
    </xf>
    <xf numFmtId="0" fontId="26" fillId="0" borderId="19" xfId="0" applyFont="1" applyBorder="1" applyAlignment="1">
      <alignment horizontal="center" vertical="center" wrapText="1"/>
    </xf>
    <xf numFmtId="166" fontId="12" fillId="0" borderId="1" xfId="1" applyNumberFormat="1" applyFont="1" applyBorder="1" applyAlignment="1">
      <alignment horizontal="right" vertical="center" wrapText="1"/>
    </xf>
    <xf numFmtId="166" fontId="24" fillId="0" borderId="1" xfId="1" applyNumberFormat="1" applyFont="1" applyBorder="1" applyAlignment="1">
      <alignment horizontal="right" vertical="center" wrapText="1"/>
    </xf>
    <xf numFmtId="166" fontId="24" fillId="0" borderId="14" xfId="1" applyNumberFormat="1" applyFont="1" applyBorder="1" applyAlignment="1">
      <alignment horizontal="right" vertical="center" wrapText="1"/>
    </xf>
    <xf numFmtId="166" fontId="24" fillId="0" borderId="15" xfId="1" applyNumberFormat="1" applyFont="1" applyBorder="1" applyAlignment="1">
      <alignment horizontal="right" vertical="center" wrapText="1"/>
    </xf>
    <xf numFmtId="166" fontId="24" fillId="0" borderId="5" xfId="1" applyNumberFormat="1" applyFont="1" applyBorder="1" applyAlignment="1">
      <alignment horizontal="right" vertical="center" wrapText="1"/>
    </xf>
    <xf numFmtId="0" fontId="9" fillId="0" borderId="14" xfId="0" applyFont="1" applyBorder="1" applyAlignment="1">
      <alignment horizontal="right" vertical="center" wrapText="1"/>
    </xf>
    <xf numFmtId="0" fontId="9" fillId="0" borderId="15" xfId="0" applyFont="1" applyBorder="1" applyAlignment="1">
      <alignment horizontal="right" vertical="center" wrapText="1"/>
    </xf>
    <xf numFmtId="166" fontId="23" fillId="3" borderId="19" xfId="1" applyNumberFormat="1" applyFont="1" applyFill="1" applyBorder="1" applyAlignment="1">
      <alignment horizontal="center" vertical="center" wrapText="1"/>
    </xf>
    <xf numFmtId="2" fontId="24" fillId="0" borderId="1" xfId="1" applyNumberFormat="1" applyFont="1" applyBorder="1" applyAlignment="1">
      <alignment horizontal="right" vertical="center" wrapText="1"/>
    </xf>
    <xf numFmtId="2" fontId="24" fillId="0" borderId="14" xfId="1" applyNumberFormat="1" applyFont="1" applyBorder="1" applyAlignment="1">
      <alignment horizontal="right" vertical="center" wrapText="1"/>
    </xf>
    <xf numFmtId="2" fontId="24" fillId="0" borderId="15" xfId="1" applyNumberFormat="1" applyFont="1" applyBorder="1" applyAlignment="1">
      <alignment horizontal="right" vertical="center" wrapText="1"/>
    </xf>
    <xf numFmtId="2" fontId="24" fillId="0" borderId="5" xfId="1" applyNumberFormat="1" applyFont="1" applyBorder="1" applyAlignment="1">
      <alignment horizontal="right" vertical="center" wrapText="1"/>
    </xf>
    <xf numFmtId="2" fontId="9" fillId="0" borderId="14" xfId="0" applyNumberFormat="1" applyFont="1" applyBorder="1" applyAlignment="1">
      <alignment horizontal="right" vertical="center" wrapText="1"/>
    </xf>
    <xf numFmtId="2" fontId="9" fillId="0" borderId="15" xfId="0" applyNumberFormat="1" applyFont="1" applyBorder="1" applyAlignment="1">
      <alignment horizontal="right" vertical="center" wrapText="1"/>
    </xf>
    <xf numFmtId="2" fontId="9" fillId="0" borderId="1" xfId="1" applyNumberFormat="1" applyFont="1" applyBorder="1" applyAlignment="1">
      <alignment horizontal="right" vertical="center" wrapText="1"/>
    </xf>
    <xf numFmtId="2" fontId="12" fillId="0" borderId="1" xfId="1" applyNumberFormat="1" applyFont="1" applyBorder="1" applyAlignment="1">
      <alignment horizontal="right" vertical="center" wrapText="1"/>
    </xf>
    <xf numFmtId="166" fontId="24" fillId="0" borderId="14" xfId="1" applyNumberFormat="1" applyFont="1" applyBorder="1" applyAlignment="1">
      <alignment horizontal="center" vertical="center" wrapText="1"/>
    </xf>
    <xf numFmtId="166" fontId="24" fillId="0" borderId="15" xfId="1" applyNumberFormat="1" applyFont="1" applyBorder="1" applyAlignment="1">
      <alignment horizontal="center" vertical="center" wrapText="1"/>
    </xf>
    <xf numFmtId="166" fontId="24" fillId="0" borderId="5" xfId="1" applyNumberFormat="1" applyFont="1" applyBorder="1" applyAlignment="1">
      <alignment horizontal="center" vertical="center" wrapText="1"/>
    </xf>
    <xf numFmtId="166" fontId="9" fillId="0" borderId="1" xfId="1" applyNumberFormat="1" applyFont="1" applyBorder="1" applyAlignment="1">
      <alignment horizontal="left" vertical="center" wrapText="1"/>
    </xf>
    <xf numFmtId="166" fontId="12" fillId="0" borderId="1" xfId="1" applyNumberFormat="1" applyFont="1" applyBorder="1" applyAlignment="1">
      <alignment horizontal="center" vertical="center" wrapText="1"/>
    </xf>
    <xf numFmtId="166" fontId="24" fillId="0" borderId="1" xfId="1" applyNumberFormat="1" applyFont="1" applyBorder="1" applyAlignment="1">
      <alignment horizontal="left" vertical="center"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1" xfId="0" applyFont="1" applyBorder="1" applyAlignment="1">
      <alignment horizontal="left" vertical="center" wrapText="1"/>
    </xf>
    <xf numFmtId="2" fontId="9" fillId="0" borderId="5" xfId="0" applyNumberFormat="1" applyFont="1" applyBorder="1" applyAlignment="1">
      <alignment horizontal="right" vertical="center" wrapText="1"/>
    </xf>
    <xf numFmtId="165" fontId="9" fillId="0" borderId="14" xfId="0" applyNumberFormat="1" applyFont="1" applyBorder="1" applyAlignment="1">
      <alignment horizontal="right" vertical="center" wrapText="1"/>
    </xf>
    <xf numFmtId="165" fontId="9" fillId="0" borderId="15" xfId="0" applyNumberFormat="1" applyFont="1" applyBorder="1" applyAlignment="1">
      <alignment horizontal="right" vertical="center" wrapText="1"/>
    </xf>
    <xf numFmtId="166" fontId="12" fillId="0" borderId="1" xfId="1" applyNumberFormat="1" applyFont="1" applyBorder="1" applyAlignment="1">
      <alignment horizontal="left" vertical="center" wrapText="1"/>
    </xf>
    <xf numFmtId="0" fontId="12" fillId="0" borderId="14" xfId="0" applyFont="1" applyBorder="1" applyAlignment="1">
      <alignment horizontal="right" vertical="center" wrapText="1"/>
    </xf>
    <xf numFmtId="0" fontId="12" fillId="0" borderId="15" xfId="0" applyFont="1" applyBorder="1" applyAlignment="1">
      <alignment horizontal="righ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5" xfId="0" applyFont="1" applyBorder="1" applyAlignment="1">
      <alignment horizontal="left" vertical="center" wrapText="1"/>
    </xf>
    <xf numFmtId="0" fontId="9" fillId="0" borderId="14" xfId="0" applyFont="1" applyBorder="1" applyAlignment="1">
      <alignment horizontal="right"/>
    </xf>
    <xf numFmtId="0" fontId="9" fillId="0" borderId="15" xfId="0" applyFont="1" applyBorder="1" applyAlignment="1">
      <alignment horizontal="right"/>
    </xf>
    <xf numFmtId="176" fontId="9" fillId="0" borderId="14" xfId="0" applyNumberFormat="1" applyFont="1" applyBorder="1" applyAlignment="1">
      <alignment horizontal="right"/>
    </xf>
    <xf numFmtId="176" fontId="9" fillId="0" borderId="15" xfId="0" applyNumberFormat="1" applyFont="1" applyBorder="1" applyAlignment="1">
      <alignment horizontal="right"/>
    </xf>
    <xf numFmtId="166" fontId="12" fillId="0" borderId="14" xfId="1" applyNumberFormat="1" applyFont="1" applyBorder="1" applyAlignment="1">
      <alignment horizontal="center" vertical="center" wrapText="1"/>
    </xf>
    <xf numFmtId="166" fontId="12" fillId="0" borderId="15" xfId="1" applyNumberFormat="1" applyFont="1" applyBorder="1" applyAlignment="1">
      <alignment horizontal="center" vertical="center" wrapText="1"/>
    </xf>
    <xf numFmtId="166" fontId="12" fillId="0" borderId="5" xfId="1" applyNumberFormat="1" applyFont="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9" fillId="0" borderId="1" xfId="0" applyFont="1" applyBorder="1" applyAlignment="1">
      <alignment horizontal="right" vertical="center" wrapText="1"/>
    </xf>
    <xf numFmtId="0" fontId="10" fillId="0" borderId="1" xfId="0" applyFont="1" applyBorder="1" applyAlignment="1">
      <alignment horizontal="right"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2" xfId="0" applyFont="1" applyBorder="1" applyAlignment="1">
      <alignment horizontal="left"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9" fillId="3" borderId="19" xfId="0" applyFont="1" applyFill="1" applyBorder="1" applyAlignment="1">
      <alignment horizontal="center" vertical="center" wrapText="1"/>
    </xf>
    <xf numFmtId="166" fontId="9" fillId="3" borderId="19" xfId="1" applyNumberFormat="1" applyFont="1" applyFill="1" applyBorder="1" applyAlignment="1">
      <alignment horizontal="left" vertical="center" wrapText="1"/>
    </xf>
    <xf numFmtId="166" fontId="9" fillId="3" borderId="19" xfId="1" applyNumberFormat="1" applyFont="1" applyFill="1" applyBorder="1" applyAlignment="1">
      <alignment horizontal="center" vertical="center" wrapText="1"/>
    </xf>
    <xf numFmtId="166" fontId="23" fillId="3" borderId="19" xfId="1" applyNumberFormat="1" applyFont="1" applyFill="1" applyBorder="1" applyAlignment="1">
      <alignment horizontal="left" vertical="center" wrapText="1"/>
    </xf>
    <xf numFmtId="0" fontId="13" fillId="0" borderId="1"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left"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 xfId="0" applyFont="1" applyBorder="1" applyAlignment="1">
      <alignment horizontal="center" vertical="center" wrapText="1"/>
    </xf>
    <xf numFmtId="168" fontId="26" fillId="0" borderId="1" xfId="1"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23" fillId="0" borderId="1" xfId="0" applyFont="1" applyBorder="1" applyAlignment="1">
      <alignment horizontal="justify" vertical="center" wrapText="1"/>
    </xf>
    <xf numFmtId="0" fontId="10" fillId="2"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23" fillId="0" borderId="1" xfId="0" applyFont="1" applyBorder="1" applyAlignment="1">
      <alignment horizontal="center" vertical="center" wrapText="1"/>
    </xf>
    <xf numFmtId="170" fontId="9" fillId="0" borderId="15" xfId="0" applyNumberFormat="1" applyFont="1" applyBorder="1" applyAlignment="1">
      <alignment horizontal="center"/>
    </xf>
    <xf numFmtId="0" fontId="9" fillId="0" borderId="15" xfId="0" applyFont="1" applyBorder="1" applyAlignment="1">
      <alignment horizontal="center"/>
    </xf>
    <xf numFmtId="170" fontId="10" fillId="0" borderId="15" xfId="0" applyNumberFormat="1" applyFont="1" applyBorder="1" applyAlignment="1">
      <alignment horizontal="center"/>
    </xf>
    <xf numFmtId="0" fontId="10" fillId="0" borderId="15" xfId="0" applyFont="1" applyBorder="1" applyAlignment="1">
      <alignment horizontal="center"/>
    </xf>
    <xf numFmtId="0" fontId="46" fillId="0" borderId="15" xfId="0" applyNumberFormat="1" applyFont="1" applyBorder="1" applyAlignment="1">
      <alignment horizontal="center"/>
    </xf>
    <xf numFmtId="0" fontId="46" fillId="0" borderId="15" xfId="0" applyFont="1" applyBorder="1" applyAlignment="1">
      <alignment horizontal="center"/>
    </xf>
    <xf numFmtId="0" fontId="0" fillId="0" borderId="15" xfId="0" applyBorder="1" applyAlignment="1">
      <alignment horizontal="center"/>
    </xf>
    <xf numFmtId="0" fontId="9" fillId="2" borderId="0" xfId="12" applyFont="1" applyFill="1" applyAlignment="1">
      <alignment horizontal="left" vertical="center" wrapText="1"/>
    </xf>
    <xf numFmtId="0" fontId="40" fillId="2" borderId="19" xfId="12" applyFont="1" applyFill="1" applyBorder="1" applyAlignment="1">
      <alignment horizontal="center" vertical="center"/>
    </xf>
    <xf numFmtId="0" fontId="26" fillId="2" borderId="19" xfId="12" applyFont="1" applyFill="1" applyBorder="1" applyAlignment="1">
      <alignment horizontal="center" vertical="center"/>
    </xf>
    <xf numFmtId="0" fontId="26" fillId="2" borderId="19" xfId="12" applyFont="1" applyFill="1" applyBorder="1" applyAlignment="1">
      <alignment horizontal="left" vertical="center" wrapText="1"/>
    </xf>
    <xf numFmtId="0" fontId="26" fillId="2" borderId="19" xfId="12" applyFont="1" applyFill="1" applyBorder="1" applyAlignment="1">
      <alignment horizontal="center" vertical="center" wrapText="1"/>
    </xf>
    <xf numFmtId="49" fontId="26" fillId="2" borderId="19" xfId="12" applyNumberFormat="1" applyFont="1" applyFill="1" applyBorder="1" applyAlignment="1">
      <alignment horizontal="center" vertical="center" wrapText="1"/>
    </xf>
    <xf numFmtId="0" fontId="40" fillId="2" borderId="19" xfId="12" applyFont="1" applyFill="1" applyBorder="1" applyAlignment="1">
      <alignment horizontal="center" vertical="center" wrapText="1"/>
    </xf>
    <xf numFmtId="2" fontId="26" fillId="2" borderId="25" xfId="12" applyNumberFormat="1" applyFont="1" applyFill="1" applyBorder="1" applyAlignment="1">
      <alignment horizontal="center" vertical="center" wrapText="1"/>
    </xf>
    <xf numFmtId="2" fontId="26" fillId="2" borderId="26" xfId="12" applyNumberFormat="1" applyFont="1" applyFill="1" applyBorder="1" applyAlignment="1">
      <alignment horizontal="center" vertical="center" wrapText="1"/>
    </xf>
    <xf numFmtId="2" fontId="26" fillId="2" borderId="27" xfId="12" applyNumberFormat="1" applyFont="1" applyFill="1" applyBorder="1" applyAlignment="1">
      <alignment horizontal="center" vertical="center" wrapText="1"/>
    </xf>
    <xf numFmtId="2" fontId="26" fillId="2" borderId="25" xfId="12" applyNumberFormat="1" applyFont="1" applyFill="1" applyBorder="1" applyAlignment="1">
      <alignment horizontal="left" vertical="center" wrapText="1"/>
    </xf>
    <xf numFmtId="2" fontId="26" fillId="2" borderId="26" xfId="12" applyNumberFormat="1" applyFont="1" applyFill="1" applyBorder="1" applyAlignment="1">
      <alignment horizontal="left" vertical="center" wrapText="1"/>
    </xf>
    <xf numFmtId="2" fontId="26" fillId="2" borderId="27" xfId="12" applyNumberFormat="1" applyFont="1" applyFill="1" applyBorder="1" applyAlignment="1">
      <alignment horizontal="left" vertical="center" wrapText="1"/>
    </xf>
    <xf numFmtId="2" fontId="26" fillId="2" borderId="19" xfId="12" applyNumberFormat="1" applyFont="1" applyFill="1" applyBorder="1" applyAlignment="1">
      <alignment horizontal="center" vertical="center" wrapText="1"/>
    </xf>
    <xf numFmtId="0" fontId="26" fillId="2" borderId="25" xfId="12" applyFont="1" applyFill="1" applyBorder="1" applyAlignment="1">
      <alignment horizontal="center" vertical="center"/>
    </xf>
    <xf numFmtId="0" fontId="26" fillId="2" borderId="26" xfId="12" applyFont="1" applyFill="1" applyBorder="1" applyAlignment="1">
      <alignment horizontal="center" vertical="center"/>
    </xf>
    <xf numFmtId="0" fontId="26" fillId="2" borderId="25" xfId="12" applyFont="1" applyFill="1" applyBorder="1" applyAlignment="1">
      <alignment horizontal="left" vertical="center" wrapText="1"/>
    </xf>
    <xf numFmtId="0" fontId="26" fillId="2" borderId="26" xfId="12" applyFont="1" applyFill="1" applyBorder="1" applyAlignment="1">
      <alignment horizontal="left" vertical="center" wrapText="1"/>
    </xf>
    <xf numFmtId="0" fontId="26" fillId="2" borderId="27" xfId="12" applyFont="1" applyFill="1" applyBorder="1" applyAlignment="1">
      <alignment horizontal="left" vertical="center" wrapText="1"/>
    </xf>
    <xf numFmtId="16" fontId="26" fillId="2" borderId="19" xfId="12" applyNumberFormat="1" applyFont="1" applyFill="1" applyBorder="1" applyAlignment="1">
      <alignment horizontal="center" vertical="center"/>
    </xf>
    <xf numFmtId="0" fontId="26" fillId="2" borderId="27" xfId="12" applyFont="1" applyFill="1" applyBorder="1" applyAlignment="1">
      <alignment horizontal="center" vertical="center"/>
    </xf>
    <xf numFmtId="0" fontId="26" fillId="2" borderId="25" xfId="12" applyFont="1" applyFill="1" applyBorder="1" applyAlignment="1">
      <alignment horizontal="center" vertical="center" wrapText="1"/>
    </xf>
    <xf numFmtId="0" fontId="26" fillId="2" borderId="26" xfId="12" applyFont="1" applyFill="1" applyBorder="1" applyAlignment="1">
      <alignment horizontal="center" vertical="center" wrapText="1"/>
    </xf>
    <xf numFmtId="0" fontId="26" fillId="2" borderId="27" xfId="12" applyFont="1" applyFill="1" applyBorder="1" applyAlignment="1">
      <alignment horizontal="center" vertical="center" wrapText="1"/>
    </xf>
    <xf numFmtId="0" fontId="26" fillId="2" borderId="19" xfId="12" applyFont="1" applyFill="1" applyBorder="1" applyAlignment="1">
      <alignment horizontal="left" vertical="top" wrapText="1"/>
    </xf>
    <xf numFmtId="16" fontId="26" fillId="2" borderId="25" xfId="12" applyNumberFormat="1" applyFont="1" applyFill="1" applyBorder="1" applyAlignment="1">
      <alignment horizontal="center" vertical="center"/>
    </xf>
    <xf numFmtId="16" fontId="26" fillId="2" borderId="26" xfId="12" applyNumberFormat="1" applyFont="1" applyFill="1" applyBorder="1" applyAlignment="1">
      <alignment horizontal="center" vertical="center"/>
    </xf>
    <xf numFmtId="16" fontId="26" fillId="2" borderId="27" xfId="12" applyNumberFormat="1" applyFont="1" applyFill="1" applyBorder="1" applyAlignment="1">
      <alignment horizontal="center" vertical="center"/>
    </xf>
    <xf numFmtId="0" fontId="13" fillId="2" borderId="0" xfId="12" applyFont="1" applyFill="1" applyAlignment="1">
      <alignment horizontal="center" vertical="center"/>
    </xf>
    <xf numFmtId="0" fontId="20" fillId="2" borderId="19" xfId="12" applyFont="1" applyFill="1" applyBorder="1" applyAlignment="1">
      <alignment horizontal="center" vertical="center" wrapText="1"/>
    </xf>
    <xf numFmtId="0" fontId="11" fillId="2" borderId="19" xfId="12" applyFont="1" applyFill="1" applyBorder="1" applyAlignment="1">
      <alignment horizontal="center" vertical="center" wrapText="1"/>
    </xf>
    <xf numFmtId="0" fontId="19" fillId="2" borderId="19" xfId="12" applyFont="1" applyFill="1" applyBorder="1" applyAlignment="1">
      <alignment horizontal="center" vertical="center"/>
    </xf>
    <xf numFmtId="0" fontId="13" fillId="0" borderId="0" xfId="0" applyFont="1" applyAlignment="1">
      <alignment horizontal="center" vertical="center"/>
    </xf>
    <xf numFmtId="0" fontId="19" fillId="0" borderId="19" xfId="0" applyFont="1" applyBorder="1" applyAlignment="1">
      <alignment horizontal="center" vertical="center" wrapText="1"/>
    </xf>
    <xf numFmtId="0" fontId="9" fillId="2" borderId="0" xfId="0" applyFont="1" applyFill="1" applyAlignment="1">
      <alignment horizontal="left" vertical="center" wrapText="1"/>
    </xf>
    <xf numFmtId="0" fontId="40" fillId="0" borderId="32" xfId="0" applyFont="1" applyBorder="1" applyAlignment="1">
      <alignment horizontal="left" vertical="top" wrapText="1"/>
    </xf>
    <xf numFmtId="0" fontId="40" fillId="0" borderId="33" xfId="0" applyFont="1" applyBorder="1" applyAlignment="1">
      <alignment horizontal="left" vertical="top" wrapText="1"/>
    </xf>
    <xf numFmtId="0" fontId="40" fillId="0" borderId="34" xfId="0" applyFont="1" applyBorder="1" applyAlignment="1">
      <alignment horizontal="left" vertical="top" wrapText="1"/>
    </xf>
    <xf numFmtId="0" fontId="40" fillId="0" borderId="28" xfId="0" applyFont="1" applyBorder="1" applyAlignment="1">
      <alignment horizontal="left" vertical="top" wrapText="1"/>
    </xf>
    <xf numFmtId="0" fontId="40" fillId="0" borderId="0" xfId="0" applyFont="1" applyBorder="1" applyAlignment="1">
      <alignment horizontal="left" vertical="top" wrapText="1"/>
    </xf>
    <xf numFmtId="0" fontId="40" fillId="0" borderId="35" xfId="0" applyFont="1" applyBorder="1" applyAlignment="1">
      <alignment horizontal="left" vertical="top" wrapText="1"/>
    </xf>
    <xf numFmtId="0" fontId="40" fillId="0" borderId="36" xfId="0" applyFont="1" applyBorder="1" applyAlignment="1">
      <alignment horizontal="left" vertical="top" wrapText="1"/>
    </xf>
    <xf numFmtId="0" fontId="40" fillId="0" borderId="37" xfId="0" applyFont="1" applyBorder="1" applyAlignment="1">
      <alignment horizontal="left" vertical="top" wrapText="1"/>
    </xf>
    <xf numFmtId="0" fontId="40" fillId="0" borderId="38" xfId="0" applyFont="1" applyBorder="1" applyAlignment="1">
      <alignment horizontal="left" vertical="top" wrapText="1"/>
    </xf>
    <xf numFmtId="165" fontId="11" fillId="0" borderId="19" xfId="1" applyFont="1" applyBorder="1" applyAlignment="1">
      <alignment horizontal="center" vertical="center" wrapText="1"/>
    </xf>
    <xf numFmtId="165" fontId="26" fillId="0" borderId="19" xfId="1" applyFont="1" applyBorder="1" applyAlignment="1">
      <alignment horizontal="center" vertical="center" wrapText="1"/>
    </xf>
    <xf numFmtId="165" fontId="26" fillId="2" borderId="19" xfId="1" applyFont="1" applyFill="1" applyBorder="1" applyAlignment="1">
      <alignment horizontal="center" vertical="center" wrapText="1"/>
    </xf>
    <xf numFmtId="0" fontId="26" fillId="0" borderId="0" xfId="0" applyFont="1" applyAlignment="1">
      <alignment horizontal="center" vertical="center" wrapText="1"/>
    </xf>
    <xf numFmtId="0" fontId="26" fillId="0" borderId="19" xfId="0" applyFont="1" applyBorder="1" applyAlignment="1">
      <alignment horizontal="center" vertical="center" wrapText="1"/>
    </xf>
    <xf numFmtId="166" fontId="26" fillId="2" borderId="19" xfId="1" applyNumberFormat="1" applyFont="1" applyFill="1" applyBorder="1" applyAlignment="1">
      <alignment horizontal="center" vertical="center" wrapText="1"/>
    </xf>
    <xf numFmtId="0" fontId="26" fillId="0" borderId="29" xfId="0" applyFont="1" applyBorder="1" applyAlignment="1">
      <alignment horizontal="center" vertical="center" wrapText="1"/>
    </xf>
    <xf numFmtId="0" fontId="26" fillId="0" borderId="30" xfId="0" applyFont="1" applyBorder="1" applyAlignment="1">
      <alignment horizontal="center" vertical="center" wrapText="1"/>
    </xf>
    <xf numFmtId="0" fontId="26" fillId="0" borderId="31" xfId="0" applyFont="1" applyBorder="1" applyAlignment="1">
      <alignment horizontal="center" vertical="center" wrapText="1"/>
    </xf>
    <xf numFmtId="0" fontId="13" fillId="0" borderId="0" xfId="0" applyFont="1" applyAlignment="1">
      <alignment horizontal="center" vertical="center" wrapText="1"/>
    </xf>
    <xf numFmtId="0" fontId="11" fillId="0" borderId="19" xfId="0" applyFont="1" applyBorder="1" applyAlignment="1">
      <alignment horizontal="center" vertical="center" wrapText="1"/>
    </xf>
    <xf numFmtId="0" fontId="13" fillId="2" borderId="0" xfId="0" applyFont="1" applyFill="1" applyAlignment="1">
      <alignment horizontal="center" vertical="center"/>
    </xf>
    <xf numFmtId="0" fontId="11" fillId="2" borderId="1" xfId="0" applyFont="1" applyFill="1" applyBorder="1" applyAlignment="1">
      <alignment horizontal="center" vertical="center" wrapText="1"/>
    </xf>
    <xf numFmtId="0" fontId="19"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horizontal="left" vertical="center" wrapText="1"/>
    </xf>
    <xf numFmtId="0" fontId="11" fillId="2" borderId="1" xfId="0" applyFont="1" applyFill="1" applyBorder="1" applyAlignment="1">
      <alignment horizontal="justify" vertical="center"/>
    </xf>
    <xf numFmtId="49" fontId="11" fillId="2" borderId="2" xfId="0" applyNumberFormat="1" applyFont="1" applyFill="1" applyBorder="1" applyAlignment="1">
      <alignment horizontal="left" vertical="center" wrapText="1"/>
    </xf>
    <xf numFmtId="49" fontId="11" fillId="2" borderId="3" xfId="0" applyNumberFormat="1" applyFont="1" applyFill="1" applyBorder="1" applyAlignment="1">
      <alignment horizontal="left" vertical="center" wrapText="1"/>
    </xf>
    <xf numFmtId="49" fontId="11" fillId="2" borderId="4" xfId="0" applyNumberFormat="1" applyFont="1" applyFill="1" applyBorder="1" applyAlignment="1">
      <alignment horizontal="lef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26" fillId="2" borderId="2"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26" fillId="2" borderId="4" xfId="0" applyFont="1" applyFill="1" applyBorder="1" applyAlignment="1">
      <alignment horizontal="left" vertical="center" wrapText="1"/>
    </xf>
    <xf numFmtId="49" fontId="11" fillId="2" borderId="2" xfId="0" applyNumberFormat="1" applyFont="1" applyFill="1" applyBorder="1" applyAlignment="1">
      <alignment horizontal="left" vertical="top" wrapText="1"/>
    </xf>
    <xf numFmtId="49" fontId="11" fillId="2" borderId="3" xfId="0" applyNumberFormat="1" applyFont="1" applyFill="1" applyBorder="1" applyAlignment="1">
      <alignment horizontal="left" vertical="top" wrapText="1"/>
    </xf>
    <xf numFmtId="49" fontId="11" fillId="2" borderId="4" xfId="0" applyNumberFormat="1" applyFont="1" applyFill="1" applyBorder="1" applyAlignment="1">
      <alignment horizontal="left" vertical="top" wrapText="1"/>
    </xf>
    <xf numFmtId="49" fontId="11" fillId="2" borderId="1" xfId="0" applyNumberFormat="1" applyFont="1" applyFill="1" applyBorder="1" applyAlignment="1">
      <alignment horizontal="justify" vertical="center" wrapText="1"/>
    </xf>
    <xf numFmtId="0" fontId="19" fillId="2" borderId="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7"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19" fillId="2" borderId="0"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4" xfId="0" applyFont="1" applyFill="1" applyBorder="1" applyAlignment="1">
      <alignment horizontal="left" vertical="center" wrapText="1"/>
    </xf>
    <xf numFmtId="16" fontId="11" fillId="2" borderId="2" xfId="0" applyNumberFormat="1" applyFont="1" applyFill="1" applyBorder="1" applyAlignment="1">
      <alignment horizontal="center" vertical="center"/>
    </xf>
    <xf numFmtId="16" fontId="11" fillId="2" borderId="3" xfId="0" applyNumberFormat="1" applyFont="1" applyFill="1" applyBorder="1" applyAlignment="1">
      <alignment horizontal="center" vertical="center"/>
    </xf>
    <xf numFmtId="16" fontId="11" fillId="2" borderId="4" xfId="0" applyNumberFormat="1"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2" fontId="11" fillId="2" borderId="2" xfId="0" applyNumberFormat="1" applyFont="1" applyFill="1" applyBorder="1" applyAlignment="1">
      <alignment horizontal="left" vertical="center" wrapText="1"/>
    </xf>
    <xf numFmtId="2" fontId="11" fillId="2" borderId="3" xfId="0" applyNumberFormat="1" applyFont="1" applyFill="1" applyBorder="1" applyAlignment="1">
      <alignment horizontal="left" vertical="center" wrapText="1"/>
    </xf>
    <xf numFmtId="2" fontId="11" fillId="2" borderId="4" xfId="0" applyNumberFormat="1" applyFont="1" applyFill="1" applyBorder="1" applyAlignment="1">
      <alignment horizontal="left" vertical="center" wrapText="1"/>
    </xf>
    <xf numFmtId="49" fontId="11" fillId="2" borderId="2"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0" fontId="26" fillId="2" borderId="2" xfId="0" applyFont="1" applyFill="1" applyBorder="1" applyAlignment="1">
      <alignment horizontal="left" vertical="top" wrapText="1"/>
    </xf>
    <xf numFmtId="0" fontId="26" fillId="2" borderId="3" xfId="0" applyFont="1" applyFill="1" applyBorder="1" applyAlignment="1">
      <alignment horizontal="left" vertical="top" wrapText="1"/>
    </xf>
    <xf numFmtId="0" fontId="26" fillId="2" borderId="4" xfId="0" applyFont="1" applyFill="1" applyBorder="1" applyAlignment="1">
      <alignment horizontal="left" vertical="top" wrapText="1"/>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5"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0"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11" xfId="0" applyFont="1" applyFill="1" applyBorder="1" applyAlignment="1">
      <alignment horizontal="center" vertical="center"/>
    </xf>
    <xf numFmtId="0" fontId="11" fillId="2" borderId="6"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3"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14"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5" xfId="0" applyFont="1" applyFill="1" applyBorder="1" applyAlignment="1">
      <alignment horizontal="center" vertical="center" wrapText="1"/>
    </xf>
    <xf numFmtId="49" fontId="11" fillId="6" borderId="2" xfId="0" applyNumberFormat="1" applyFont="1" applyFill="1" applyBorder="1" applyAlignment="1">
      <alignment horizontal="left" vertical="top" wrapText="1"/>
    </xf>
    <xf numFmtId="49" fontId="11" fillId="6" borderId="3" xfId="0" applyNumberFormat="1" applyFont="1" applyFill="1" applyBorder="1" applyAlignment="1">
      <alignment horizontal="left" vertical="top" wrapText="1"/>
    </xf>
    <xf numFmtId="49" fontId="11" fillId="6" borderId="4" xfId="0" applyNumberFormat="1" applyFont="1" applyFill="1" applyBorder="1" applyAlignment="1">
      <alignment horizontal="left" vertical="top" wrapText="1"/>
    </xf>
    <xf numFmtId="0" fontId="19" fillId="5" borderId="6"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0"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5" borderId="10"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9" fillId="5" borderId="11" xfId="0" applyFont="1" applyFill="1" applyBorder="1" applyAlignment="1">
      <alignment horizontal="center" vertical="center" wrapText="1"/>
    </xf>
    <xf numFmtId="2" fontId="11" fillId="6" borderId="2" xfId="0" applyNumberFormat="1" applyFont="1" applyFill="1" applyBorder="1" applyAlignment="1">
      <alignment horizontal="left" vertical="center" wrapText="1"/>
    </xf>
    <xf numFmtId="2" fontId="11" fillId="6" borderId="3" xfId="0" applyNumberFormat="1" applyFont="1" applyFill="1" applyBorder="1" applyAlignment="1">
      <alignment horizontal="left" vertical="center" wrapText="1"/>
    </xf>
    <xf numFmtId="2" fontId="11" fillId="6" borderId="4" xfId="0" applyNumberFormat="1" applyFont="1" applyFill="1" applyBorder="1" applyAlignment="1">
      <alignment horizontal="left" vertical="center" wrapText="1"/>
    </xf>
    <xf numFmtId="49" fontId="11" fillId="6" borderId="2" xfId="0" applyNumberFormat="1" applyFont="1" applyFill="1" applyBorder="1" applyAlignment="1">
      <alignment horizontal="left" vertical="center" wrapText="1"/>
    </xf>
    <xf numFmtId="49" fontId="11" fillId="6" borderId="3" xfId="0" applyNumberFormat="1" applyFont="1" applyFill="1" applyBorder="1" applyAlignment="1">
      <alignment horizontal="left" vertical="center" wrapText="1"/>
    </xf>
    <xf numFmtId="49" fontId="11" fillId="6" borderId="4" xfId="0" applyNumberFormat="1" applyFont="1" applyFill="1" applyBorder="1" applyAlignment="1">
      <alignment horizontal="left" vertical="center" wrapText="1"/>
    </xf>
    <xf numFmtId="0" fontId="19" fillId="7" borderId="6" xfId="0" applyFont="1" applyFill="1" applyBorder="1" applyAlignment="1">
      <alignment horizontal="center" vertical="center"/>
    </xf>
    <xf numFmtId="0" fontId="19" fillId="7" borderId="12" xfId="0" applyFont="1" applyFill="1" applyBorder="1" applyAlignment="1">
      <alignment horizontal="center" vertical="center"/>
    </xf>
    <xf numFmtId="0" fontId="19" fillId="7" borderId="7" xfId="0" applyFont="1" applyFill="1" applyBorder="1" applyAlignment="1">
      <alignment horizontal="center" vertical="center"/>
    </xf>
    <xf numFmtId="0" fontId="19" fillId="7" borderId="8" xfId="0" applyFont="1" applyFill="1" applyBorder="1" applyAlignment="1">
      <alignment horizontal="center" vertical="center"/>
    </xf>
    <xf numFmtId="0" fontId="19" fillId="7" borderId="0" xfId="0" applyFont="1" applyFill="1" applyBorder="1" applyAlignment="1">
      <alignment horizontal="center" vertical="center"/>
    </xf>
    <xf numFmtId="0" fontId="19" fillId="7" borderId="9" xfId="0" applyFont="1" applyFill="1" applyBorder="1" applyAlignment="1">
      <alignment horizontal="center" vertical="center"/>
    </xf>
    <xf numFmtId="0" fontId="19" fillId="7" borderId="10" xfId="0" applyFont="1" applyFill="1" applyBorder="1" applyAlignment="1">
      <alignment horizontal="center" vertical="center"/>
    </xf>
    <xf numFmtId="0" fontId="19" fillId="7" borderId="13" xfId="0" applyFont="1" applyFill="1" applyBorder="1" applyAlignment="1">
      <alignment horizontal="center" vertical="center"/>
    </xf>
    <xf numFmtId="0" fontId="19" fillId="7" borderId="11" xfId="0" applyFont="1" applyFill="1" applyBorder="1" applyAlignment="1">
      <alignment horizontal="center" vertical="center"/>
    </xf>
    <xf numFmtId="0" fontId="11" fillId="3" borderId="6"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0"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1" xfId="0" applyFont="1" applyFill="1" applyBorder="1" applyAlignment="1">
      <alignment horizontal="left" vertical="center" wrapText="1"/>
    </xf>
  </cellXfs>
  <cellStyles count="25">
    <cellStyle name="Обычный" xfId="0" builtinId="0"/>
    <cellStyle name="Обычный 2" xfId="3" xr:uid="{00000000-0005-0000-0000-000001000000}"/>
    <cellStyle name="Обычный 2 2" xfId="5" xr:uid="{00000000-0005-0000-0000-000002000000}"/>
    <cellStyle name="Обычный 2 2 2" xfId="14" xr:uid="{00000000-0005-0000-0000-000003000000}"/>
    <cellStyle name="Обычный 2 2 2 2" xfId="21" xr:uid="{00000000-0005-0000-0000-000004000000}"/>
    <cellStyle name="Обычный 2 2 2 3" xfId="22" xr:uid="{00000000-0005-0000-0000-000005000000}"/>
    <cellStyle name="Обычный 2 2 2 3 2" xfId="23" xr:uid="{00000000-0005-0000-0000-000006000000}"/>
    <cellStyle name="Обычный 2 2 2 3 2 2" xfId="24" xr:uid="{00000000-0005-0000-0000-000007000000}"/>
    <cellStyle name="Обычный 2 2 3" xfId="17" xr:uid="{00000000-0005-0000-0000-000008000000}"/>
    <cellStyle name="Обычный 2 3" xfId="12" xr:uid="{00000000-0005-0000-0000-000009000000}"/>
    <cellStyle name="Обычный 2 4" xfId="16" xr:uid="{00000000-0005-0000-0000-00000A000000}"/>
    <cellStyle name="Обычный 3" xfId="4" xr:uid="{00000000-0005-0000-0000-00000B000000}"/>
    <cellStyle name="Обычный 4" xfId="2" xr:uid="{00000000-0005-0000-0000-00000C000000}"/>
    <cellStyle name="Обычный 4 2" xfId="15" xr:uid="{00000000-0005-0000-0000-00000D000000}"/>
    <cellStyle name="Финансовый" xfId="1" builtinId="3"/>
    <cellStyle name="Финансовый 2" xfId="8" xr:uid="{00000000-0005-0000-0000-00000F000000}"/>
    <cellStyle name="Финансовый 2 2" xfId="6" xr:uid="{00000000-0005-0000-0000-000010000000}"/>
    <cellStyle name="Финансовый 2 2 2" xfId="7" xr:uid="{00000000-0005-0000-0000-000011000000}"/>
    <cellStyle name="Финансовый 2 2 3" xfId="9" xr:uid="{00000000-0005-0000-0000-000012000000}"/>
    <cellStyle name="Финансовый 2 3" xfId="13" xr:uid="{00000000-0005-0000-0000-000013000000}"/>
    <cellStyle name="Финансовый 2 4" xfId="18" xr:uid="{00000000-0005-0000-0000-000014000000}"/>
    <cellStyle name="Финансовый 3" xfId="10" xr:uid="{00000000-0005-0000-0000-000015000000}"/>
    <cellStyle name="Финансовый 3 2" xfId="19" xr:uid="{00000000-0005-0000-0000-000016000000}"/>
    <cellStyle name="Финансовый 4" xfId="11" xr:uid="{00000000-0005-0000-0000-000017000000}"/>
    <cellStyle name="Финансовый 4 2" xfId="20" xr:uid="{00000000-0005-0000-0000-000018000000}"/>
  </cellStyles>
  <dxfs count="0"/>
  <tableStyles count="0" defaultTableStyle="TableStyleMedium2" defaultPivotStyle="PivotStyleLight16"/>
  <colors>
    <mruColors>
      <color rgb="FFCCECFF"/>
      <color rgb="FFFFCCFF"/>
      <color rgb="FF0000FF"/>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val>
            <c:numRef>
              <c:f>'таблица 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'таблица 2'!#REF!</c15:sqref>
                        </c15:formulaRef>
                      </c:ext>
                    </c:extLst>
                    <c:strCache>
                      <c:ptCount val="1"/>
                      <c:pt idx="0">
                        <c:v>#REF!</c:v>
                      </c:pt>
                    </c:strCache>
                  </c:strRef>
                </c15:tx>
              </c15:filteredSeriesTitle>
            </c:ext>
            <c:ext xmlns:c15="http://schemas.microsoft.com/office/drawing/2012/chart" uri="{02D57815-91ED-43cb-92C2-25804820EDAC}">
              <c15:filteredCategoryTitle>
                <c15:cat>
                  <c:multiLvlStrRef>
                    <c:extLst>
                      <c:ext uri="{02D57815-91ED-43cb-92C2-25804820EDAC}">
                        <c15:formulaRef>
                          <c15:sqref>'таблица 2'!#REF!</c15:sqref>
                        </c15:formulaRef>
                      </c:ext>
                    </c:extLst>
                  </c:multiLvlStrRef>
                </c15:cat>
              </c15:filteredCategoryTitle>
            </c:ex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xPr>
        <a:bodyPr/>
        <a:lstStyle/>
        <a:p>
          <a:pPr>
            <a:defRPr sz="2200">
              <a:latin typeface="Bookman Old Style" pitchFamily="18" charset="0"/>
            </a:defRPr>
          </a:pPr>
          <a:endParaRPr lang="ru-RU"/>
        </a:p>
      </c:txPr>
    </c:title>
    <c:autoTitleDeleted val="0"/>
    <c:view3D>
      <c:rotX val="30"/>
      <c:rotY val="0"/>
      <c:rAngAx val="0"/>
    </c:view3D>
    <c:floor>
      <c:thickness val="0"/>
    </c:floor>
    <c:sideWall>
      <c:thickness val="0"/>
    </c:sideWall>
    <c:backWall>
      <c:thickness val="0"/>
    </c:backWall>
    <c:plotArea>
      <c:layout/>
      <c:pie3DChart>
        <c:varyColors val="1"/>
        <c:ser>
          <c:idx val="0"/>
          <c:order val="0"/>
          <c:tx>
            <c:strRef>
              <c:f>'[2]таблица 2'!$B$343</c:f>
              <c:strCache>
                <c:ptCount val="1"/>
                <c:pt idx="0">
                  <c:v>Сумма, тыс. рублей</c:v>
                </c:pt>
              </c:strCache>
            </c:strRef>
          </c:tx>
          <c:explosion val="25"/>
          <c:dLbls>
            <c:dLbl>
              <c:idx val="0"/>
              <c:layout>
                <c:manualLayout>
                  <c:x val="-0.13212921490567767"/>
                  <c:y val="-9.460263767896014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837-4A16-99AF-2A63A5B948E1}"/>
                </c:ext>
              </c:extLst>
            </c:dLbl>
            <c:dLbl>
              <c:idx val="1"/>
              <c:layout>
                <c:manualLayout>
                  <c:x val="0.11129442409639706"/>
                  <c:y val="-1.446173532947620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837-4A16-99AF-2A63A5B948E1}"/>
                </c:ext>
              </c:extLst>
            </c:dLbl>
            <c:spPr>
              <a:noFill/>
              <a:ln>
                <a:noFill/>
              </a:ln>
              <a:effectLst/>
            </c:spPr>
            <c:txPr>
              <a:bodyPr/>
              <a:lstStyle/>
              <a:p>
                <a:pPr>
                  <a:defRPr i="1">
                    <a:latin typeface="Bookman Old Style" pitchFamily="18" charset="0"/>
                  </a:defRPr>
                </a:pPr>
                <a:endParaRPr lang="ru-RU"/>
              </a:p>
            </c:txPr>
            <c:showLegendKey val="0"/>
            <c:showVal val="1"/>
            <c:showCatName val="0"/>
            <c:showSerName val="0"/>
            <c:showPercent val="0"/>
            <c:showBubbleSize val="0"/>
            <c:showLeaderLines val="1"/>
            <c:extLst>
              <c:ext xmlns:c15="http://schemas.microsoft.com/office/drawing/2012/chart" uri="{CE6537A1-D6FC-4f65-9D91-7224C49458BB}"/>
            </c:extLst>
          </c:dLbls>
          <c:cat>
            <c:strRef>
              <c:f>'[2]таблица 2'!$A$344:$A$347</c:f>
              <c:strCache>
                <c:ptCount val="4"/>
                <c:pt idx="0">
                  <c:v>Федеральный бюджет </c:v>
                </c:pt>
                <c:pt idx="1">
                  <c:v>Бюджет Ханты-Мансийского автономного округа - Югры</c:v>
                </c:pt>
                <c:pt idx="2">
                  <c:v>Бюджет муниципального образования Нефтеюганский район</c:v>
                </c:pt>
                <c:pt idx="3">
                  <c:v>Иные источники</c:v>
                </c:pt>
              </c:strCache>
            </c:strRef>
          </c:cat>
          <c:val>
            <c:numRef>
              <c:f>'[2]таблица 2'!$B$344:$B$347</c:f>
              <c:numCache>
                <c:formatCode>General</c:formatCode>
                <c:ptCount val="4"/>
                <c:pt idx="0">
                  <c:v>5082.6000000000004</c:v>
                </c:pt>
                <c:pt idx="1">
                  <c:v>3003.2559999999999</c:v>
                </c:pt>
                <c:pt idx="2">
                  <c:v>691617.26302999991</c:v>
                </c:pt>
                <c:pt idx="3">
                  <c:v>250939.85058999999</c:v>
                </c:pt>
              </c:numCache>
            </c:numRef>
          </c:val>
          <c:extLst>
            <c:ext xmlns:c16="http://schemas.microsoft.com/office/drawing/2014/chart" uri="{C3380CC4-5D6E-409C-BE32-E72D297353CC}">
              <c16:uniqueId val="{00000002-B837-4A16-99AF-2A63A5B948E1}"/>
            </c:ext>
          </c:extLst>
        </c:ser>
        <c:dLbls>
          <c:showLegendKey val="0"/>
          <c:showVal val="0"/>
          <c:showCatName val="0"/>
          <c:showSerName val="0"/>
          <c:showPercent val="0"/>
          <c:showBubbleSize val="0"/>
          <c:showLeaderLines val="1"/>
        </c:dLbls>
      </c:pie3DChart>
    </c:plotArea>
    <c:legend>
      <c:legendPos val="r"/>
      <c:overlay val="0"/>
    </c:legend>
    <c:plotVisOnly val="1"/>
    <c:dispBlanksAs val="zero"/>
    <c:showDLblsOverMax val="0"/>
  </c:chart>
  <c:spPr>
    <a:gradFill>
      <a:gsLst>
        <a:gs pos="0">
          <a:schemeClr val="accent1">
            <a:tint val="66000"/>
            <a:satMod val="160000"/>
          </a:schemeClr>
        </a:gs>
        <a:gs pos="50000">
          <a:schemeClr val="accent1">
            <a:tint val="44500"/>
            <a:satMod val="160000"/>
          </a:schemeClr>
        </a:gs>
        <a:gs pos="100000">
          <a:schemeClr val="accent1">
            <a:tint val="23500"/>
            <a:satMod val="160000"/>
          </a:schemeClr>
        </a:gs>
      </a:gsLst>
      <a:lin ang="5400000" scaled="0"/>
    </a:gradFill>
  </c:spPr>
  <c:printSettings>
    <c:headerFooter/>
    <c:pageMargins b="0.75000000000000455" l="0.70000000000000062" r="0.70000000000000062" t="0.750000000000004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683558</xdr:colOff>
      <xdr:row>349</xdr:row>
      <xdr:rowOff>1120</xdr:rowOff>
    </xdr:from>
    <xdr:to>
      <xdr:col>3</xdr:col>
      <xdr:colOff>1613646</xdr:colOff>
      <xdr:row>368</xdr:row>
      <xdr:rowOff>190499</xdr:rowOff>
    </xdr:to>
    <xdr:graphicFrame macro="">
      <xdr:nvGraphicFramePr>
        <xdr:cNvPr id="2" name="Диаграмма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Desktop\&#1055;&#1056;&#1054;&#1045;&#1050;&#1058;\&#1042;&#1085;&#1077;&#1089;&#1077;&#1085;&#1080;&#1077;%20&#1080;&#1079;&#1084;&#1077;&#1085;&#1077;&#1085;&#1080;&#1081;%20&#1085;&#1072;%202023&#1075;\&#1042;%20&#1044;&#1045;&#1051;&#1054;%20&#1085;&#1072;%2001.11.2023%20&#8212;%20&#1082;&#1086;&#1087;&#1080;&#1103;\&#1058;&#1072;&#1073;&#1083;&#1080;&#1094;&#1099;%202-8%20%20&#1085;&#1072;%202023%20-%202026%20&#1075;&#1086;&#1076;&#1099;%20&#1085;&#1072;%2001.11.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ownloads\&#1050;&#1059;&#1051;&#1068;&#1058;&#1059;&#1056;&#1040;\4%202022%20&#1050;&#1091;&#1083;&#1100;&#1090;&#1091;&#1088;&#1072;\&#1087;&#1088;&#1086;&#1077;&#1082;&#1090;%20&#1076;&#1083;&#1103;%20&#1051;&#1103;&#1081;&#1089;&#1072;&#1085;\&#1055;&#1056;&#1054;&#1045;&#1050;&#1058;%20&#1085;&#1072;%2001.06.2022%20%20&#1050;&#1059;&#1051;&#1068;&#1058;&#1059;&#1056;&#1040;%20&#1087;&#1086;%20&#1056;&#1044;%20&#8470;%207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
      <sheetName val="таблица 3"/>
      <sheetName val="таблица 4"/>
      <sheetName val="Таблица 5"/>
      <sheetName val="Таблица 6"/>
      <sheetName val="таблица 7"/>
      <sheetName val="таблица 8 "/>
      <sheetName val="пост 2372 от 30.12.2022"/>
      <sheetName val="2022 год"/>
    </sheetNames>
    <sheetDataSet>
      <sheetData sheetId="0" refreshError="1"/>
      <sheetData sheetId="1" refreshError="1"/>
      <sheetData sheetId="2" refreshError="1"/>
      <sheetData sheetId="3">
        <row r="12">
          <cell r="I12">
            <v>0</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блица 1"/>
      <sheetName val="таблица 2"/>
      <sheetName val="таблица 3"/>
      <sheetName val="таблица 4"/>
      <sheetName val="Таблица 5"/>
      <sheetName val="Таблица 6"/>
      <sheetName val="таблица 7"/>
      <sheetName val="таблица 8"/>
      <sheetName val="пост 2372 от 30.12.2022"/>
    </sheetNames>
    <sheetDataSet>
      <sheetData sheetId="0" refreshError="1"/>
      <sheetData sheetId="1">
        <row r="343">
          <cell r="B343" t="str">
            <v>Сумма, тыс. рублей</v>
          </cell>
        </row>
        <row r="344">
          <cell r="A344" t="str">
            <v xml:space="preserve">Федеральный бюджет </v>
          </cell>
          <cell r="B344">
            <v>5082.6000000000004</v>
          </cell>
        </row>
        <row r="345">
          <cell r="A345" t="str">
            <v>Бюджет Ханты-Мансийского автономного округа - Югры</v>
          </cell>
          <cell r="B345">
            <v>3003.2559999999999</v>
          </cell>
        </row>
        <row r="346">
          <cell r="A346" t="str">
            <v>Бюджет муниципального образования Нефтеюганский район</v>
          </cell>
          <cell r="B346">
            <v>691617.26302999991</v>
          </cell>
        </row>
        <row r="347">
          <cell r="A347" t="str">
            <v>Иные источники</v>
          </cell>
          <cell r="B347">
            <v>250939.85058999999</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09"/>
  <sheetViews>
    <sheetView view="pageBreakPreview" topLeftCell="A33" zoomScale="85" zoomScaleSheetLayoutView="85" workbookViewId="0">
      <selection activeCell="B38" sqref="B38:C38"/>
    </sheetView>
  </sheetViews>
  <sheetFormatPr defaultRowHeight="15" outlineLevelRow="1" x14ac:dyDescent="0.25"/>
  <cols>
    <col min="1" max="1" width="13.7109375" customWidth="1"/>
    <col min="2" max="2" width="15.140625" customWidth="1"/>
    <col min="3" max="3" width="39.5703125" customWidth="1"/>
    <col min="5" max="5" width="12.42578125" customWidth="1"/>
    <col min="6" max="6" width="8.85546875" customWidth="1"/>
    <col min="7" max="7" width="10.140625" customWidth="1"/>
    <col min="8" max="8" width="4.85546875" customWidth="1"/>
    <col min="9" max="9" width="11.140625" customWidth="1"/>
    <col min="10" max="10" width="8.5703125" customWidth="1"/>
    <col min="11" max="11" width="8.140625" customWidth="1"/>
    <col min="12" max="12" width="11.140625" customWidth="1"/>
    <col min="13" max="13" width="13.28515625" customWidth="1"/>
    <col min="14" max="14" width="10.140625" customWidth="1"/>
    <col min="15" max="15" width="6.42578125" customWidth="1"/>
    <col min="16" max="16" width="16.140625" customWidth="1"/>
    <col min="17" max="17" width="4.7109375" customWidth="1"/>
    <col min="18" max="18" width="5.85546875" customWidth="1"/>
    <col min="19" max="19" width="5.42578125" customWidth="1"/>
    <col min="20" max="21" width="8" customWidth="1"/>
    <col min="22" max="22" width="23.140625" customWidth="1"/>
  </cols>
  <sheetData>
    <row r="1" spans="1:22" x14ac:dyDescent="0.25">
      <c r="T1" s="56" t="s">
        <v>168</v>
      </c>
    </row>
    <row r="2" spans="1:22" x14ac:dyDescent="0.25">
      <c r="T2" s="56" t="s">
        <v>167</v>
      </c>
    </row>
    <row r="3" spans="1:22" x14ac:dyDescent="0.25">
      <c r="T3" s="56" t="s">
        <v>169</v>
      </c>
    </row>
    <row r="4" spans="1:22" x14ac:dyDescent="0.25">
      <c r="T4" s="56"/>
    </row>
    <row r="5" spans="1:22" x14ac:dyDescent="0.25">
      <c r="T5" s="56"/>
    </row>
    <row r="6" spans="1:22" ht="15.75" x14ac:dyDescent="0.25">
      <c r="A6" s="82"/>
      <c r="T6" s="56"/>
    </row>
    <row r="7" spans="1:22" ht="41.25" customHeight="1" x14ac:dyDescent="0.25">
      <c r="A7" s="336" t="s">
        <v>287</v>
      </c>
      <c r="B7" s="337"/>
      <c r="C7" s="337"/>
      <c r="D7" s="337"/>
      <c r="E7" s="337"/>
      <c r="F7" s="337"/>
      <c r="G7" s="337"/>
      <c r="H7" s="337"/>
      <c r="I7" s="337"/>
      <c r="J7" s="337"/>
      <c r="K7" s="337"/>
      <c r="L7" s="337"/>
      <c r="M7" s="337"/>
      <c r="N7" s="337"/>
      <c r="O7" s="337"/>
      <c r="P7" s="337"/>
      <c r="Q7" s="337"/>
      <c r="R7" s="337"/>
      <c r="S7" s="337"/>
      <c r="T7" s="337"/>
      <c r="U7" s="337"/>
      <c r="V7" s="337"/>
    </row>
    <row r="9" spans="1:22" ht="51" customHeight="1" x14ac:dyDescent="0.25">
      <c r="A9" s="1" t="s">
        <v>209</v>
      </c>
      <c r="B9" s="369" t="s">
        <v>288</v>
      </c>
      <c r="C9" s="369"/>
      <c r="D9" s="369"/>
      <c r="E9" s="369"/>
      <c r="F9" s="369"/>
      <c r="G9" s="369"/>
      <c r="H9" s="369"/>
      <c r="I9" s="369"/>
      <c r="J9" s="369"/>
      <c r="K9" s="369"/>
      <c r="L9" s="369"/>
      <c r="M9" s="369" t="s">
        <v>228</v>
      </c>
      <c r="N9" s="369"/>
      <c r="O9" s="369"/>
      <c r="P9" s="369"/>
      <c r="Q9" s="369" t="s">
        <v>278</v>
      </c>
      <c r="R9" s="369"/>
      <c r="S9" s="369"/>
      <c r="T9" s="369"/>
      <c r="U9" s="369"/>
      <c r="V9" s="369"/>
    </row>
    <row r="10" spans="1:22" ht="47.25" customHeight="1" x14ac:dyDescent="0.25">
      <c r="A10" s="77" t="s">
        <v>210</v>
      </c>
      <c r="B10" s="369" t="s">
        <v>0</v>
      </c>
      <c r="C10" s="369"/>
      <c r="D10" s="369"/>
      <c r="E10" s="369"/>
      <c r="F10" s="369"/>
      <c r="G10" s="369"/>
      <c r="H10" s="369"/>
      <c r="I10" s="369"/>
      <c r="J10" s="369"/>
      <c r="K10" s="369"/>
      <c r="L10" s="369"/>
      <c r="M10" s="369"/>
      <c r="N10" s="369"/>
      <c r="O10" s="369"/>
      <c r="P10" s="369"/>
      <c r="Q10" s="369"/>
      <c r="R10" s="369"/>
      <c r="S10" s="369"/>
      <c r="T10" s="369"/>
      <c r="U10" s="369"/>
      <c r="V10" s="369"/>
    </row>
    <row r="11" spans="1:22" ht="48.75" customHeight="1" x14ac:dyDescent="0.25">
      <c r="A11" s="77" t="s">
        <v>211</v>
      </c>
      <c r="B11" s="375" t="s">
        <v>174</v>
      </c>
      <c r="C11" s="375"/>
      <c r="D11" s="375"/>
      <c r="E11" s="375"/>
      <c r="F11" s="375"/>
      <c r="G11" s="375"/>
      <c r="H11" s="375"/>
      <c r="I11" s="375"/>
      <c r="J11" s="375"/>
      <c r="K11" s="375"/>
      <c r="L11" s="375"/>
      <c r="M11" s="375"/>
      <c r="N11" s="375"/>
      <c r="O11" s="375"/>
      <c r="P11" s="375"/>
      <c r="Q11" s="375"/>
      <c r="R11" s="375"/>
      <c r="S11" s="375"/>
      <c r="T11" s="375"/>
      <c r="U11" s="375"/>
      <c r="V11" s="375"/>
    </row>
    <row r="12" spans="1:22" ht="60" customHeight="1" x14ac:dyDescent="0.25">
      <c r="A12" s="77" t="s">
        <v>212</v>
      </c>
      <c r="B12" s="369" t="s">
        <v>8</v>
      </c>
      <c r="C12" s="369"/>
      <c r="D12" s="369"/>
      <c r="E12" s="369"/>
      <c r="F12" s="369"/>
      <c r="G12" s="369"/>
      <c r="H12" s="369"/>
      <c r="I12" s="369"/>
      <c r="J12" s="369"/>
      <c r="K12" s="369"/>
      <c r="L12" s="369"/>
      <c r="M12" s="369"/>
      <c r="N12" s="369"/>
      <c r="O12" s="369"/>
      <c r="P12" s="369"/>
      <c r="Q12" s="369"/>
      <c r="R12" s="369"/>
      <c r="S12" s="369"/>
      <c r="T12" s="369"/>
      <c r="U12" s="369"/>
      <c r="V12" s="369"/>
    </row>
    <row r="13" spans="1:22" x14ac:dyDescent="0.25">
      <c r="A13" s="315" t="s">
        <v>213</v>
      </c>
      <c r="B13" s="369" t="s">
        <v>205</v>
      </c>
      <c r="C13" s="369"/>
      <c r="D13" s="369"/>
      <c r="E13" s="369"/>
      <c r="F13" s="369"/>
      <c r="G13" s="369"/>
      <c r="H13" s="369"/>
      <c r="I13" s="369"/>
      <c r="J13" s="369"/>
      <c r="K13" s="369"/>
      <c r="L13" s="369"/>
      <c r="M13" s="369"/>
      <c r="N13" s="369"/>
      <c r="O13" s="369"/>
      <c r="P13" s="369"/>
      <c r="Q13" s="369"/>
      <c r="R13" s="369"/>
      <c r="S13" s="369"/>
      <c r="T13" s="369"/>
      <c r="U13" s="369"/>
      <c r="V13" s="369"/>
    </row>
    <row r="14" spans="1:22" x14ac:dyDescent="0.25">
      <c r="A14" s="315"/>
      <c r="B14" s="374" t="s">
        <v>202</v>
      </c>
      <c r="C14" s="374"/>
      <c r="D14" s="374"/>
      <c r="E14" s="374"/>
      <c r="F14" s="374"/>
      <c r="G14" s="374"/>
      <c r="H14" s="374"/>
      <c r="I14" s="374"/>
      <c r="J14" s="374"/>
      <c r="K14" s="374"/>
      <c r="L14" s="374"/>
      <c r="M14" s="374"/>
      <c r="N14" s="374"/>
      <c r="O14" s="374"/>
      <c r="P14" s="374"/>
      <c r="Q14" s="374"/>
      <c r="R14" s="374"/>
      <c r="S14" s="374"/>
      <c r="T14" s="374"/>
      <c r="U14" s="374"/>
      <c r="V14" s="374"/>
    </row>
    <row r="15" spans="1:22" x14ac:dyDescent="0.25">
      <c r="A15" s="315"/>
      <c r="B15" s="374" t="s">
        <v>203</v>
      </c>
      <c r="C15" s="374"/>
      <c r="D15" s="374"/>
      <c r="E15" s="374"/>
      <c r="F15" s="374"/>
      <c r="G15" s="374"/>
      <c r="H15" s="374"/>
      <c r="I15" s="374"/>
      <c r="J15" s="374"/>
      <c r="K15" s="374"/>
      <c r="L15" s="374"/>
      <c r="M15" s="374"/>
      <c r="N15" s="374"/>
      <c r="O15" s="374"/>
      <c r="P15" s="374"/>
      <c r="Q15" s="374"/>
      <c r="R15" s="374"/>
      <c r="S15" s="374"/>
      <c r="T15" s="374"/>
      <c r="U15" s="374"/>
      <c r="V15" s="374"/>
    </row>
    <row r="16" spans="1:22" x14ac:dyDescent="0.25">
      <c r="A16" s="315"/>
      <c r="B16" s="374" t="s">
        <v>204</v>
      </c>
      <c r="C16" s="374"/>
      <c r="D16" s="374"/>
      <c r="E16" s="374"/>
      <c r="F16" s="374"/>
      <c r="G16" s="374"/>
      <c r="H16" s="374"/>
      <c r="I16" s="374"/>
      <c r="J16" s="374"/>
      <c r="K16" s="374"/>
      <c r="L16" s="374"/>
      <c r="M16" s="374"/>
      <c r="N16" s="374"/>
      <c r="O16" s="374"/>
      <c r="P16" s="374"/>
      <c r="Q16" s="374"/>
      <c r="R16" s="374"/>
      <c r="S16" s="374"/>
      <c r="T16" s="374"/>
      <c r="U16" s="374"/>
      <c r="V16" s="374"/>
    </row>
    <row r="17" spans="1:22" ht="25.5" x14ac:dyDescent="0.25">
      <c r="A17" s="77" t="s">
        <v>214</v>
      </c>
      <c r="B17" s="373" t="s">
        <v>199</v>
      </c>
      <c r="C17" s="373"/>
      <c r="D17" s="373"/>
      <c r="E17" s="373"/>
      <c r="F17" s="373"/>
      <c r="G17" s="373"/>
      <c r="H17" s="373"/>
      <c r="I17" s="373"/>
      <c r="J17" s="373"/>
      <c r="K17" s="373"/>
      <c r="L17" s="373"/>
      <c r="M17" s="373"/>
      <c r="N17" s="373"/>
      <c r="O17" s="373"/>
      <c r="P17" s="373"/>
      <c r="Q17" s="373"/>
      <c r="R17" s="373"/>
      <c r="S17" s="373"/>
      <c r="T17" s="373"/>
      <c r="U17" s="373"/>
      <c r="V17" s="373"/>
    </row>
    <row r="18" spans="1:22" ht="48.75" customHeight="1" x14ac:dyDescent="0.25">
      <c r="A18" s="77" t="s">
        <v>215</v>
      </c>
      <c r="B18" s="369" t="s">
        <v>1</v>
      </c>
      <c r="C18" s="369"/>
      <c r="D18" s="369"/>
      <c r="E18" s="369"/>
      <c r="F18" s="369"/>
      <c r="G18" s="369"/>
      <c r="H18" s="369"/>
      <c r="I18" s="369"/>
      <c r="J18" s="369"/>
      <c r="K18" s="369"/>
      <c r="L18" s="369"/>
      <c r="M18" s="369"/>
      <c r="N18" s="369"/>
      <c r="O18" s="369"/>
      <c r="P18" s="369"/>
      <c r="Q18" s="369"/>
      <c r="R18" s="369"/>
      <c r="S18" s="369"/>
      <c r="T18" s="369"/>
      <c r="U18" s="369"/>
      <c r="V18" s="369"/>
    </row>
    <row r="19" spans="1:22" ht="21.75" customHeight="1" x14ac:dyDescent="0.25">
      <c r="A19" s="315" t="s">
        <v>216</v>
      </c>
      <c r="B19" s="369" t="s">
        <v>2</v>
      </c>
      <c r="C19" s="369"/>
      <c r="D19" s="369"/>
      <c r="E19" s="369"/>
      <c r="F19" s="369"/>
      <c r="G19" s="369"/>
      <c r="H19" s="369"/>
      <c r="I19" s="369"/>
      <c r="J19" s="369"/>
      <c r="K19" s="369"/>
      <c r="L19" s="369"/>
      <c r="M19" s="369"/>
      <c r="N19" s="369"/>
      <c r="O19" s="369"/>
      <c r="P19" s="369"/>
      <c r="Q19" s="369"/>
      <c r="R19" s="369"/>
      <c r="S19" s="369"/>
      <c r="T19" s="369"/>
      <c r="U19" s="369"/>
      <c r="V19" s="369"/>
    </row>
    <row r="20" spans="1:22" ht="21.75" customHeight="1" x14ac:dyDescent="0.25">
      <c r="A20" s="315"/>
      <c r="B20" s="369" t="s">
        <v>3</v>
      </c>
      <c r="C20" s="369"/>
      <c r="D20" s="369"/>
      <c r="E20" s="369"/>
      <c r="F20" s="369"/>
      <c r="G20" s="369"/>
      <c r="H20" s="369"/>
      <c r="I20" s="369"/>
      <c r="J20" s="369"/>
      <c r="K20" s="369"/>
      <c r="L20" s="369"/>
      <c r="M20" s="369"/>
      <c r="N20" s="369"/>
      <c r="O20" s="369"/>
      <c r="P20" s="369"/>
      <c r="Q20" s="369"/>
      <c r="R20" s="369"/>
      <c r="S20" s="369"/>
      <c r="T20" s="369"/>
      <c r="U20" s="369"/>
      <c r="V20" s="369"/>
    </row>
    <row r="21" spans="1:22" ht="21.75" customHeight="1" x14ac:dyDescent="0.25">
      <c r="A21" s="315"/>
      <c r="B21" s="369" t="s">
        <v>4</v>
      </c>
      <c r="C21" s="369"/>
      <c r="D21" s="369"/>
      <c r="E21" s="369"/>
      <c r="F21" s="369"/>
      <c r="G21" s="369"/>
      <c r="H21" s="369"/>
      <c r="I21" s="369"/>
      <c r="J21" s="369"/>
      <c r="K21" s="369"/>
      <c r="L21" s="369"/>
      <c r="M21" s="369"/>
      <c r="N21" s="369"/>
      <c r="O21" s="369"/>
      <c r="P21" s="369"/>
      <c r="Q21" s="369"/>
      <c r="R21" s="369"/>
      <c r="S21" s="369"/>
      <c r="T21" s="369"/>
      <c r="U21" s="369"/>
      <c r="V21" s="369"/>
    </row>
    <row r="22" spans="1:22" x14ac:dyDescent="0.25">
      <c r="A22" s="315" t="s">
        <v>217</v>
      </c>
      <c r="B22" s="369" t="s">
        <v>206</v>
      </c>
      <c r="C22" s="369"/>
      <c r="D22" s="369"/>
      <c r="E22" s="369"/>
      <c r="F22" s="369"/>
      <c r="G22" s="369"/>
      <c r="H22" s="369"/>
      <c r="I22" s="369"/>
      <c r="J22" s="369"/>
      <c r="K22" s="369"/>
      <c r="L22" s="369"/>
      <c r="M22" s="369"/>
      <c r="N22" s="369"/>
      <c r="O22" s="369"/>
      <c r="P22" s="369"/>
      <c r="Q22" s="369"/>
      <c r="R22" s="369"/>
      <c r="S22" s="369"/>
      <c r="T22" s="369"/>
      <c r="U22" s="369"/>
      <c r="V22" s="369"/>
    </row>
    <row r="23" spans="1:22" x14ac:dyDescent="0.25">
      <c r="A23" s="315"/>
      <c r="B23" s="370" t="s">
        <v>207</v>
      </c>
      <c r="C23" s="370"/>
      <c r="D23" s="370"/>
      <c r="E23" s="370"/>
      <c r="F23" s="370"/>
      <c r="G23" s="370"/>
      <c r="H23" s="370"/>
      <c r="I23" s="370"/>
      <c r="J23" s="370"/>
      <c r="K23" s="370"/>
      <c r="L23" s="370"/>
      <c r="M23" s="370"/>
      <c r="N23" s="370"/>
      <c r="O23" s="370"/>
      <c r="P23" s="370"/>
      <c r="Q23" s="370"/>
      <c r="R23" s="370"/>
      <c r="S23" s="370"/>
      <c r="T23" s="370"/>
      <c r="U23" s="370"/>
      <c r="V23" s="370"/>
    </row>
    <row r="24" spans="1:22" x14ac:dyDescent="0.25">
      <c r="A24" s="315"/>
      <c r="B24" s="369" t="s">
        <v>208</v>
      </c>
      <c r="C24" s="369"/>
      <c r="D24" s="369"/>
      <c r="E24" s="369"/>
      <c r="F24" s="369"/>
      <c r="G24" s="369"/>
      <c r="H24" s="369"/>
      <c r="I24" s="369"/>
      <c r="J24" s="369"/>
      <c r="K24" s="369"/>
      <c r="L24" s="369"/>
      <c r="M24" s="369"/>
      <c r="N24" s="369"/>
      <c r="O24" s="369"/>
      <c r="P24" s="369"/>
      <c r="Q24" s="369"/>
      <c r="R24" s="369"/>
      <c r="S24" s="369"/>
      <c r="T24" s="369"/>
      <c r="U24" s="369"/>
      <c r="V24" s="369"/>
    </row>
    <row r="25" spans="1:22" ht="15" customHeight="1" x14ac:dyDescent="0.25">
      <c r="A25" s="363" t="s">
        <v>223</v>
      </c>
      <c r="B25" s="363" t="s">
        <v>5</v>
      </c>
      <c r="C25" s="371" t="s">
        <v>218</v>
      </c>
      <c r="D25" s="372" t="s">
        <v>219</v>
      </c>
      <c r="E25" s="372"/>
      <c r="F25" s="363" t="s">
        <v>6</v>
      </c>
      <c r="G25" s="363"/>
      <c r="H25" s="363"/>
      <c r="I25" s="363"/>
      <c r="J25" s="363"/>
      <c r="K25" s="363"/>
      <c r="L25" s="363"/>
      <c r="M25" s="363"/>
      <c r="N25" s="363"/>
      <c r="O25" s="363"/>
      <c r="P25" s="363"/>
      <c r="Q25" s="363"/>
      <c r="R25" s="363"/>
      <c r="S25" s="363"/>
      <c r="T25" s="363"/>
      <c r="U25" s="363"/>
      <c r="V25" s="363"/>
    </row>
    <row r="26" spans="1:22" s="2" customFormat="1" ht="72" customHeight="1" x14ac:dyDescent="0.25">
      <c r="A26" s="363"/>
      <c r="B26" s="363"/>
      <c r="C26" s="371"/>
      <c r="D26" s="372"/>
      <c r="E26" s="372"/>
      <c r="F26" s="79" t="s">
        <v>220</v>
      </c>
      <c r="G26" s="324">
        <v>2023</v>
      </c>
      <c r="H26" s="346"/>
      <c r="I26" s="325"/>
      <c r="J26" s="363">
        <v>2024</v>
      </c>
      <c r="K26" s="363"/>
      <c r="L26" s="324">
        <v>2025</v>
      </c>
      <c r="M26" s="325"/>
      <c r="N26" s="363">
        <v>2026</v>
      </c>
      <c r="O26" s="363"/>
      <c r="P26" s="363" t="s">
        <v>279</v>
      </c>
      <c r="Q26" s="363"/>
      <c r="R26" s="363"/>
      <c r="S26" s="315" t="s">
        <v>221</v>
      </c>
      <c r="T26" s="315"/>
      <c r="U26" s="315" t="s">
        <v>222</v>
      </c>
      <c r="V26" s="315"/>
    </row>
    <row r="27" spans="1:22" s="2" customFormat="1" ht="108" hidden="1" customHeight="1" x14ac:dyDescent="0.25">
      <c r="A27" s="363"/>
      <c r="B27" s="79">
        <v>1</v>
      </c>
      <c r="C27" s="80" t="s">
        <v>133</v>
      </c>
      <c r="D27" s="376" t="s">
        <v>152</v>
      </c>
      <c r="E27" s="376"/>
      <c r="F27" s="78">
        <v>0</v>
      </c>
      <c r="G27" s="338">
        <v>0</v>
      </c>
      <c r="H27" s="338"/>
      <c r="I27" s="78">
        <v>0</v>
      </c>
      <c r="J27" s="338">
        <v>0</v>
      </c>
      <c r="K27" s="338"/>
      <c r="L27" s="78">
        <v>1</v>
      </c>
      <c r="M27" s="78">
        <v>0</v>
      </c>
      <c r="N27" s="338">
        <v>0</v>
      </c>
      <c r="O27" s="338"/>
      <c r="P27" s="338">
        <v>0</v>
      </c>
      <c r="Q27" s="338"/>
      <c r="R27" s="338"/>
      <c r="S27" s="338">
        <v>1</v>
      </c>
      <c r="T27" s="338"/>
      <c r="U27" s="315" t="s">
        <v>134</v>
      </c>
      <c r="V27" s="315"/>
    </row>
    <row r="28" spans="1:22" s="2" customFormat="1" ht="89.25" hidden="1" x14ac:dyDescent="0.25">
      <c r="A28" s="363"/>
      <c r="B28" s="79">
        <v>2</v>
      </c>
      <c r="C28" s="80" t="s">
        <v>137</v>
      </c>
      <c r="D28" s="376" t="s">
        <v>152</v>
      </c>
      <c r="E28" s="376"/>
      <c r="F28" s="78">
        <v>0</v>
      </c>
      <c r="G28" s="338">
        <v>0</v>
      </c>
      <c r="H28" s="338"/>
      <c r="I28" s="78">
        <v>0</v>
      </c>
      <c r="J28" s="338">
        <v>0</v>
      </c>
      <c r="K28" s="338"/>
      <c r="L28" s="78">
        <v>0</v>
      </c>
      <c r="M28" s="78">
        <v>2</v>
      </c>
      <c r="N28" s="338">
        <v>2</v>
      </c>
      <c r="O28" s="338"/>
      <c r="P28" s="338">
        <v>0</v>
      </c>
      <c r="Q28" s="338"/>
      <c r="R28" s="338"/>
      <c r="S28" s="338">
        <v>2</v>
      </c>
      <c r="T28" s="338"/>
      <c r="U28" s="315" t="s">
        <v>135</v>
      </c>
      <c r="V28" s="315"/>
    </row>
    <row r="29" spans="1:22" s="2" customFormat="1" ht="76.5" hidden="1" x14ac:dyDescent="0.25">
      <c r="A29" s="363"/>
      <c r="B29" s="79">
        <v>3</v>
      </c>
      <c r="C29" s="80" t="s">
        <v>132</v>
      </c>
      <c r="D29" s="376" t="s">
        <v>152</v>
      </c>
      <c r="E29" s="376"/>
      <c r="F29" s="78">
        <v>0</v>
      </c>
      <c r="G29" s="338">
        <v>7</v>
      </c>
      <c r="H29" s="338"/>
      <c r="I29" s="78">
        <v>8</v>
      </c>
      <c r="J29" s="338">
        <v>12</v>
      </c>
      <c r="K29" s="338"/>
      <c r="L29" s="78">
        <v>39</v>
      </c>
      <c r="M29" s="78">
        <v>51</v>
      </c>
      <c r="N29" s="338">
        <v>63</v>
      </c>
      <c r="O29" s="338"/>
      <c r="P29" s="338">
        <v>0</v>
      </c>
      <c r="Q29" s="338"/>
      <c r="R29" s="338"/>
      <c r="S29" s="338">
        <v>63</v>
      </c>
      <c r="T29" s="338"/>
      <c r="U29" s="315" t="s">
        <v>136</v>
      </c>
      <c r="V29" s="315"/>
    </row>
    <row r="30" spans="1:22" ht="102" customHeight="1" x14ac:dyDescent="0.25">
      <c r="A30" s="363"/>
      <c r="B30" s="79">
        <v>1</v>
      </c>
      <c r="C30" s="80" t="s">
        <v>7</v>
      </c>
      <c r="D30" s="315" t="s">
        <v>200</v>
      </c>
      <c r="E30" s="315"/>
      <c r="F30" s="104">
        <v>711</v>
      </c>
      <c r="G30" s="324">
        <v>776</v>
      </c>
      <c r="H30" s="346"/>
      <c r="I30" s="325"/>
      <c r="J30" s="324">
        <v>905</v>
      </c>
      <c r="K30" s="325"/>
      <c r="L30" s="324">
        <v>1164</v>
      </c>
      <c r="M30" s="325"/>
      <c r="N30" s="326">
        <v>1292</v>
      </c>
      <c r="O30" s="326"/>
      <c r="P30" s="365">
        <v>1939</v>
      </c>
      <c r="Q30" s="366"/>
      <c r="R30" s="367"/>
      <c r="S30" s="368">
        <v>1939</v>
      </c>
      <c r="T30" s="368"/>
      <c r="U30" s="324" t="s">
        <v>289</v>
      </c>
      <c r="V30" s="325"/>
    </row>
    <row r="31" spans="1:22" ht="97.5" hidden="1" customHeight="1" outlineLevel="1" x14ac:dyDescent="0.25">
      <c r="A31" s="363"/>
      <c r="B31" s="79"/>
      <c r="C31" s="80"/>
      <c r="D31" s="315"/>
      <c r="E31" s="315"/>
      <c r="F31" s="78"/>
      <c r="G31" s="338"/>
      <c r="H31" s="338"/>
      <c r="I31" s="78"/>
      <c r="J31" s="338"/>
      <c r="K31" s="338"/>
      <c r="L31" s="78"/>
      <c r="M31" s="78"/>
      <c r="N31" s="339"/>
      <c r="O31" s="339"/>
      <c r="P31" s="339"/>
      <c r="Q31" s="339"/>
      <c r="R31" s="339"/>
      <c r="S31" s="339"/>
      <c r="T31" s="339"/>
      <c r="U31" s="315"/>
      <c r="V31" s="315"/>
    </row>
    <row r="32" spans="1:22" ht="17.25" customHeight="1" collapsed="1" x14ac:dyDescent="0.25">
      <c r="A32" s="313" t="s">
        <v>224</v>
      </c>
      <c r="B32" s="363" t="s">
        <v>9</v>
      </c>
      <c r="C32" s="363"/>
      <c r="D32" s="359" t="s">
        <v>10</v>
      </c>
      <c r="E32" s="359"/>
      <c r="F32" s="359"/>
      <c r="G32" s="359"/>
      <c r="H32" s="359"/>
      <c r="I32" s="359"/>
      <c r="J32" s="359"/>
      <c r="K32" s="359"/>
      <c r="L32" s="359"/>
      <c r="M32" s="359"/>
      <c r="N32" s="359"/>
      <c r="O32" s="359"/>
      <c r="P32" s="359"/>
      <c r="Q32" s="359"/>
      <c r="R32" s="359"/>
      <c r="S32" s="359"/>
      <c r="T32" s="359"/>
      <c r="U32" s="359"/>
      <c r="V32" s="359"/>
    </row>
    <row r="33" spans="1:22" ht="16.5" customHeight="1" x14ac:dyDescent="0.25">
      <c r="A33" s="314"/>
      <c r="B33" s="363"/>
      <c r="C33" s="363"/>
      <c r="D33" s="344" t="s">
        <v>11</v>
      </c>
      <c r="E33" s="345"/>
      <c r="F33" s="345"/>
      <c r="G33" s="364"/>
      <c r="H33" s="363">
        <v>2023</v>
      </c>
      <c r="I33" s="363"/>
      <c r="J33" s="363"/>
      <c r="K33" s="363">
        <v>2024</v>
      </c>
      <c r="L33" s="363"/>
      <c r="M33" s="363">
        <v>2025</v>
      </c>
      <c r="N33" s="363"/>
      <c r="O33" s="363">
        <v>2026</v>
      </c>
      <c r="P33" s="363"/>
      <c r="Q33" s="363"/>
      <c r="R33" s="324" t="s">
        <v>279</v>
      </c>
      <c r="S33" s="346"/>
      <c r="T33" s="346"/>
      <c r="U33" s="346"/>
      <c r="V33" s="325"/>
    </row>
    <row r="34" spans="1:22" s="2" customFormat="1" ht="17.25" customHeight="1" x14ac:dyDescent="0.25">
      <c r="A34" s="314"/>
      <c r="B34" s="323" t="s">
        <v>12</v>
      </c>
      <c r="C34" s="323"/>
      <c r="D34" s="333" t="e">
        <f>#REF!</f>
        <v>#REF!</v>
      </c>
      <c r="E34" s="334"/>
      <c r="F34" s="334"/>
      <c r="G34" s="335"/>
      <c r="H34" s="319" t="e">
        <f>#REF!</f>
        <v>#REF!</v>
      </c>
      <c r="I34" s="319"/>
      <c r="J34" s="319"/>
      <c r="K34" s="311" t="e">
        <f>#REF!</f>
        <v>#REF!</v>
      </c>
      <c r="L34" s="311"/>
      <c r="M34" s="312" t="e">
        <f>#REF!</f>
        <v>#REF!</v>
      </c>
      <c r="N34" s="312"/>
      <c r="O34" s="312" t="e">
        <f>#REF!</f>
        <v>#REF!</v>
      </c>
      <c r="P34" s="312"/>
      <c r="Q34" s="312"/>
      <c r="R34" s="307" t="e">
        <f>#REF!</f>
        <v>#REF!</v>
      </c>
      <c r="S34" s="308"/>
      <c r="T34" s="308"/>
      <c r="U34" s="308"/>
      <c r="V34" s="309"/>
    </row>
    <row r="35" spans="1:22" x14ac:dyDescent="0.25">
      <c r="A35" s="314"/>
      <c r="B35" s="315" t="s">
        <v>13</v>
      </c>
      <c r="C35" s="315"/>
      <c r="D35" s="333" t="e">
        <f>#REF!</f>
        <v>#REF!</v>
      </c>
      <c r="E35" s="334"/>
      <c r="F35" s="334"/>
      <c r="G35" s="335"/>
      <c r="H35" s="319" t="e">
        <f>#REF!</f>
        <v>#REF!</v>
      </c>
      <c r="I35" s="319"/>
      <c r="J35" s="319"/>
      <c r="K35" s="311" t="e">
        <f>#REF!</f>
        <v>#REF!</v>
      </c>
      <c r="L35" s="311"/>
      <c r="M35" s="312" t="e">
        <f>#REF!</f>
        <v>#REF!</v>
      </c>
      <c r="N35" s="312"/>
      <c r="O35" s="312" t="e">
        <f>#REF!</f>
        <v>#REF!</v>
      </c>
      <c r="P35" s="312"/>
      <c r="Q35" s="312"/>
      <c r="R35" s="307" t="e">
        <f>#REF!</f>
        <v>#REF!</v>
      </c>
      <c r="S35" s="308"/>
      <c r="T35" s="308"/>
      <c r="U35" s="308"/>
      <c r="V35" s="309"/>
    </row>
    <row r="36" spans="1:22" x14ac:dyDescent="0.25">
      <c r="A36" s="314"/>
      <c r="B36" s="315" t="s">
        <v>14</v>
      </c>
      <c r="C36" s="315"/>
      <c r="D36" s="333" t="e">
        <f>#REF!</f>
        <v>#REF!</v>
      </c>
      <c r="E36" s="334"/>
      <c r="F36" s="334"/>
      <c r="G36" s="335"/>
      <c r="H36" s="319" t="e">
        <f>#REF!</f>
        <v>#REF!</v>
      </c>
      <c r="I36" s="319"/>
      <c r="J36" s="319"/>
      <c r="K36" s="311" t="e">
        <f>#REF!</f>
        <v>#REF!</v>
      </c>
      <c r="L36" s="311"/>
      <c r="M36" s="312" t="e">
        <f>#REF!</f>
        <v>#REF!</v>
      </c>
      <c r="N36" s="312"/>
      <c r="O36" s="312" t="e">
        <f>#REF!</f>
        <v>#REF!</v>
      </c>
      <c r="P36" s="312"/>
      <c r="Q36" s="312"/>
      <c r="R36" s="307" t="e">
        <f>#REF!</f>
        <v>#REF!</v>
      </c>
      <c r="S36" s="308"/>
      <c r="T36" s="308"/>
      <c r="U36" s="308"/>
      <c r="V36" s="309"/>
    </row>
    <row r="37" spans="1:22" x14ac:dyDescent="0.25">
      <c r="A37" s="314"/>
      <c r="B37" s="315" t="s">
        <v>15</v>
      </c>
      <c r="C37" s="315"/>
      <c r="D37" s="333" t="e">
        <f>#REF!</f>
        <v>#REF!</v>
      </c>
      <c r="E37" s="334"/>
      <c r="F37" s="334"/>
      <c r="G37" s="335"/>
      <c r="H37" s="319" t="e">
        <f>#REF!</f>
        <v>#REF!</v>
      </c>
      <c r="I37" s="319"/>
      <c r="J37" s="319"/>
      <c r="K37" s="311" t="e">
        <f>#REF!</f>
        <v>#REF!</v>
      </c>
      <c r="L37" s="311"/>
      <c r="M37" s="312" t="e">
        <f>#REF!</f>
        <v>#REF!</v>
      </c>
      <c r="N37" s="312"/>
      <c r="O37" s="312" t="e">
        <f>#REF!</f>
        <v>#REF!</v>
      </c>
      <c r="P37" s="312"/>
      <c r="Q37" s="312"/>
      <c r="R37" s="307" t="e">
        <f>#REF!</f>
        <v>#REF!</v>
      </c>
      <c r="S37" s="308"/>
      <c r="T37" s="308"/>
      <c r="U37" s="308"/>
      <c r="V37" s="309"/>
    </row>
    <row r="38" spans="1:22" x14ac:dyDescent="0.25">
      <c r="A38" s="314"/>
      <c r="B38" s="315" t="s">
        <v>16</v>
      </c>
      <c r="C38" s="315"/>
      <c r="D38" s="333" t="e">
        <f>#REF!</f>
        <v>#REF!</v>
      </c>
      <c r="E38" s="334"/>
      <c r="F38" s="334"/>
      <c r="G38" s="335"/>
      <c r="H38" s="319" t="e">
        <f>#REF!</f>
        <v>#REF!</v>
      </c>
      <c r="I38" s="319"/>
      <c r="J38" s="319"/>
      <c r="K38" s="311" t="e">
        <f>#REF!</f>
        <v>#REF!</v>
      </c>
      <c r="L38" s="311"/>
      <c r="M38" s="312" t="e">
        <f>#REF!</f>
        <v>#REF!</v>
      </c>
      <c r="N38" s="312"/>
      <c r="O38" s="312" t="e">
        <f>#REF!</f>
        <v>#REF!</v>
      </c>
      <c r="P38" s="312"/>
      <c r="Q38" s="312"/>
      <c r="R38" s="307" t="e">
        <f>#REF!</f>
        <v>#REF!</v>
      </c>
      <c r="S38" s="308"/>
      <c r="T38" s="308"/>
      <c r="U38" s="308"/>
      <c r="V38" s="309"/>
    </row>
    <row r="39" spans="1:22" x14ac:dyDescent="0.25">
      <c r="A39" s="314"/>
      <c r="B39" s="315" t="s">
        <v>17</v>
      </c>
      <c r="C39" s="315"/>
      <c r="D39" s="333" t="e">
        <f>#REF!</f>
        <v>#REF!</v>
      </c>
      <c r="E39" s="334"/>
      <c r="F39" s="334"/>
      <c r="G39" s="335"/>
      <c r="H39" s="319" t="e">
        <f>#REF!</f>
        <v>#REF!</v>
      </c>
      <c r="I39" s="319"/>
      <c r="J39" s="319"/>
      <c r="K39" s="311" t="e">
        <f>#REF!</f>
        <v>#REF!</v>
      </c>
      <c r="L39" s="311"/>
      <c r="M39" s="312" t="e">
        <f>#REF!</f>
        <v>#REF!</v>
      </c>
      <c r="N39" s="312"/>
      <c r="O39" s="312" t="e">
        <f>#REF!</f>
        <v>#REF!</v>
      </c>
      <c r="P39" s="312"/>
      <c r="Q39" s="312"/>
      <c r="R39" s="307" t="e">
        <f>#REF!</f>
        <v>#REF!</v>
      </c>
      <c r="S39" s="308"/>
      <c r="T39" s="308"/>
      <c r="U39" s="308"/>
      <c r="V39" s="309"/>
    </row>
    <row r="40" spans="1:22" x14ac:dyDescent="0.25">
      <c r="A40" s="314"/>
      <c r="B40" s="315" t="s">
        <v>18</v>
      </c>
      <c r="C40" s="315"/>
      <c r="D40" s="333" t="e">
        <f>#REF!</f>
        <v>#REF!</v>
      </c>
      <c r="E40" s="334"/>
      <c r="F40" s="334"/>
      <c r="G40" s="335"/>
      <c r="H40" s="319" t="e">
        <f>#REF!</f>
        <v>#REF!</v>
      </c>
      <c r="I40" s="319"/>
      <c r="J40" s="319"/>
      <c r="K40" s="311" t="e">
        <f>#REF!</f>
        <v>#REF!</v>
      </c>
      <c r="L40" s="311"/>
      <c r="M40" s="312" t="e">
        <f>#REF!</f>
        <v>#REF!</v>
      </c>
      <c r="N40" s="312"/>
      <c r="O40" s="312" t="e">
        <f>#REF!</f>
        <v>#REF!</v>
      </c>
      <c r="P40" s="312"/>
      <c r="Q40" s="312"/>
      <c r="R40" s="307" t="e">
        <f>#REF!</f>
        <v>#REF!</v>
      </c>
      <c r="S40" s="308"/>
      <c r="T40" s="308"/>
      <c r="U40" s="308"/>
      <c r="V40" s="309"/>
    </row>
    <row r="41" spans="1:22" ht="15" customHeight="1" x14ac:dyDescent="0.25">
      <c r="A41" s="314"/>
      <c r="B41" s="340" t="s">
        <v>9</v>
      </c>
      <c r="C41" s="341"/>
      <c r="D41" s="359" t="s">
        <v>10</v>
      </c>
      <c r="E41" s="359"/>
      <c r="F41" s="359"/>
      <c r="G41" s="359"/>
      <c r="H41" s="359"/>
      <c r="I41" s="359"/>
      <c r="J41" s="359"/>
      <c r="K41" s="359"/>
      <c r="L41" s="359"/>
      <c r="M41" s="359"/>
      <c r="N41" s="359"/>
      <c r="O41" s="359"/>
      <c r="P41" s="359"/>
      <c r="Q41" s="359"/>
      <c r="R41" s="359"/>
      <c r="S41" s="359"/>
      <c r="T41" s="359"/>
      <c r="U41" s="359"/>
      <c r="V41" s="359"/>
    </row>
    <row r="42" spans="1:22" ht="19.5" customHeight="1" x14ac:dyDescent="0.25">
      <c r="A42" s="314"/>
      <c r="B42" s="342"/>
      <c r="C42" s="343"/>
      <c r="D42" s="344" t="s">
        <v>11</v>
      </c>
      <c r="E42" s="345"/>
      <c r="F42" s="345"/>
      <c r="G42" s="345"/>
      <c r="H42" s="346">
        <v>2023</v>
      </c>
      <c r="I42" s="346"/>
      <c r="J42" s="346"/>
      <c r="K42" s="346">
        <v>2024</v>
      </c>
      <c r="L42" s="325"/>
      <c r="M42" s="324">
        <v>2025</v>
      </c>
      <c r="N42" s="346"/>
      <c r="O42" s="346">
        <v>2026</v>
      </c>
      <c r="P42" s="346"/>
      <c r="Q42" s="346"/>
      <c r="R42" s="346" t="s">
        <v>279</v>
      </c>
      <c r="S42" s="346"/>
      <c r="T42" s="346"/>
      <c r="U42" s="346"/>
      <c r="V42" s="325"/>
    </row>
    <row r="43" spans="1:22" ht="15.75" customHeight="1" x14ac:dyDescent="0.25">
      <c r="A43" s="314"/>
      <c r="B43" s="360" t="s">
        <v>285</v>
      </c>
      <c r="C43" s="361"/>
      <c r="D43" s="361"/>
      <c r="E43" s="361"/>
      <c r="F43" s="361"/>
      <c r="G43" s="361"/>
      <c r="H43" s="361"/>
      <c r="I43" s="361"/>
      <c r="J43" s="361"/>
      <c r="K43" s="361"/>
      <c r="L43" s="361"/>
      <c r="M43" s="361"/>
      <c r="N43" s="361"/>
      <c r="O43" s="361"/>
      <c r="P43" s="361"/>
      <c r="Q43" s="361"/>
      <c r="R43" s="361"/>
      <c r="S43" s="361"/>
      <c r="T43" s="361"/>
      <c r="U43" s="361"/>
      <c r="V43" s="362"/>
    </row>
    <row r="44" spans="1:22" ht="15" customHeight="1" x14ac:dyDescent="0.25">
      <c r="A44" s="314"/>
      <c r="B44" s="327" t="s">
        <v>12</v>
      </c>
      <c r="C44" s="328"/>
      <c r="D44" s="329" t="e">
        <f>SUM(D52+D60)</f>
        <v>#REF!</v>
      </c>
      <c r="E44" s="330"/>
      <c r="F44" s="330"/>
      <c r="G44" s="330"/>
      <c r="H44" s="377" t="e">
        <f>SUM(H52+H60)</f>
        <v>#REF!</v>
      </c>
      <c r="I44" s="378"/>
      <c r="J44" s="378"/>
      <c r="K44" s="381" t="e">
        <f>K52+K60</f>
        <v>#REF!</v>
      </c>
      <c r="L44" s="382"/>
      <c r="M44" s="382"/>
      <c r="N44" s="382"/>
      <c r="O44" s="382"/>
      <c r="P44" s="382"/>
      <c r="Q44" s="382"/>
      <c r="R44" s="382"/>
      <c r="S44" s="382"/>
      <c r="T44" s="382"/>
      <c r="U44" s="382"/>
      <c r="V44" s="382"/>
    </row>
    <row r="45" spans="1:22" ht="15.75" customHeight="1" x14ac:dyDescent="0.25">
      <c r="A45" s="314"/>
      <c r="B45" s="315" t="s">
        <v>13</v>
      </c>
      <c r="C45" s="315"/>
      <c r="D45" s="329" t="e">
        <f t="shared" ref="D45:D50" si="0">SUM(D53+D61)</f>
        <v>#REF!</v>
      </c>
      <c r="E45" s="330"/>
      <c r="F45" s="330"/>
      <c r="G45" s="330"/>
      <c r="H45" s="377" t="e">
        <f t="shared" ref="H45:H50" si="1">SUM(H53+H61)</f>
        <v>#REF!</v>
      </c>
      <c r="I45" s="378"/>
      <c r="J45" s="378"/>
      <c r="K45" s="382"/>
      <c r="L45" s="382"/>
      <c r="M45" s="382"/>
      <c r="N45" s="382"/>
      <c r="O45" s="382"/>
      <c r="P45" s="382"/>
      <c r="Q45" s="382"/>
      <c r="R45" s="382"/>
      <c r="S45" s="382"/>
      <c r="T45" s="382"/>
      <c r="U45" s="382"/>
      <c r="V45" s="382"/>
    </row>
    <row r="46" spans="1:22" ht="13.5" customHeight="1" x14ac:dyDescent="0.25">
      <c r="A46" s="314"/>
      <c r="B46" s="315" t="s">
        <v>14</v>
      </c>
      <c r="C46" s="315"/>
      <c r="D46" s="329" t="e">
        <f t="shared" si="0"/>
        <v>#REF!</v>
      </c>
      <c r="E46" s="330"/>
      <c r="F46" s="330"/>
      <c r="G46" s="330"/>
      <c r="H46" s="377" t="e">
        <f t="shared" si="1"/>
        <v>#REF!</v>
      </c>
      <c r="I46" s="378"/>
      <c r="J46" s="378"/>
      <c r="K46" s="382"/>
      <c r="L46" s="382"/>
      <c r="M46" s="382"/>
      <c r="N46" s="382"/>
      <c r="O46" s="382"/>
      <c r="P46" s="382"/>
      <c r="Q46" s="382"/>
      <c r="R46" s="382"/>
      <c r="S46" s="382"/>
      <c r="T46" s="382"/>
      <c r="U46" s="382"/>
      <c r="V46" s="382"/>
    </row>
    <row r="47" spans="1:22" ht="15.75" customHeight="1" x14ac:dyDescent="0.25">
      <c r="A47" s="314"/>
      <c r="B47" s="315" t="s">
        <v>15</v>
      </c>
      <c r="C47" s="315"/>
      <c r="D47" s="329" t="e">
        <f t="shared" si="0"/>
        <v>#REF!</v>
      </c>
      <c r="E47" s="330"/>
      <c r="F47" s="330"/>
      <c r="G47" s="330"/>
      <c r="H47" s="377" t="e">
        <f t="shared" si="1"/>
        <v>#REF!</v>
      </c>
      <c r="I47" s="378"/>
      <c r="J47" s="378"/>
      <c r="K47" s="382"/>
      <c r="L47" s="382"/>
      <c r="M47" s="382"/>
      <c r="N47" s="382"/>
      <c r="O47" s="382"/>
      <c r="P47" s="382"/>
      <c r="Q47" s="382"/>
      <c r="R47" s="382"/>
      <c r="S47" s="382"/>
      <c r="T47" s="382"/>
      <c r="U47" s="382"/>
      <c r="V47" s="382"/>
    </row>
    <row r="48" spans="1:22" ht="15" customHeight="1" x14ac:dyDescent="0.25">
      <c r="A48" s="314"/>
      <c r="B48" s="315" t="s">
        <v>16</v>
      </c>
      <c r="C48" s="315"/>
      <c r="D48" s="331" t="e">
        <f t="shared" si="0"/>
        <v>#REF!</v>
      </c>
      <c r="E48" s="332"/>
      <c r="F48" s="332"/>
      <c r="G48" s="332"/>
      <c r="H48" s="377" t="e">
        <f t="shared" si="1"/>
        <v>#REF!</v>
      </c>
      <c r="I48" s="378"/>
      <c r="J48" s="378"/>
      <c r="K48" s="382"/>
      <c r="L48" s="382"/>
      <c r="M48" s="382"/>
      <c r="N48" s="382"/>
      <c r="O48" s="382"/>
      <c r="P48" s="382"/>
      <c r="Q48" s="382"/>
      <c r="R48" s="382"/>
      <c r="S48" s="382"/>
      <c r="T48" s="382"/>
      <c r="U48" s="382"/>
      <c r="V48" s="382"/>
    </row>
    <row r="49" spans="1:22" ht="15" customHeight="1" x14ac:dyDescent="0.25">
      <c r="A49" s="314"/>
      <c r="B49" s="315" t="s">
        <v>17</v>
      </c>
      <c r="C49" s="315"/>
      <c r="D49" s="331" t="e">
        <f t="shared" si="0"/>
        <v>#REF!</v>
      </c>
      <c r="E49" s="332"/>
      <c r="F49" s="332"/>
      <c r="G49" s="332"/>
      <c r="H49" s="377" t="e">
        <f t="shared" si="1"/>
        <v>#REF!</v>
      </c>
      <c r="I49" s="378"/>
      <c r="J49" s="378"/>
      <c r="K49" s="382"/>
      <c r="L49" s="382"/>
      <c r="M49" s="382"/>
      <c r="N49" s="382"/>
      <c r="O49" s="382"/>
      <c r="P49" s="382"/>
      <c r="Q49" s="382"/>
      <c r="R49" s="382"/>
      <c r="S49" s="382"/>
      <c r="T49" s="382"/>
      <c r="U49" s="382"/>
      <c r="V49" s="382"/>
    </row>
    <row r="50" spans="1:22" ht="13.5" customHeight="1" x14ac:dyDescent="0.25">
      <c r="A50" s="314"/>
      <c r="B50" s="315" t="s">
        <v>18</v>
      </c>
      <c r="C50" s="315"/>
      <c r="D50" s="331" t="e">
        <f t="shared" si="0"/>
        <v>#REF!</v>
      </c>
      <c r="E50" s="332"/>
      <c r="F50" s="332"/>
      <c r="G50" s="332"/>
      <c r="H50" s="379" t="e">
        <f t="shared" si="1"/>
        <v>#REF!</v>
      </c>
      <c r="I50" s="380"/>
      <c r="J50" s="380"/>
      <c r="K50" s="383"/>
      <c r="L50" s="383"/>
      <c r="M50" s="383"/>
      <c r="N50" s="383"/>
      <c r="O50" s="383"/>
      <c r="P50" s="383"/>
      <c r="Q50" s="383"/>
      <c r="R50" s="383"/>
      <c r="S50" s="383"/>
      <c r="T50" s="383"/>
      <c r="U50" s="383"/>
      <c r="V50" s="383"/>
    </row>
    <row r="51" spans="1:22" ht="12.75" customHeight="1" x14ac:dyDescent="0.25">
      <c r="A51" s="314"/>
      <c r="B51" s="322" t="s">
        <v>284</v>
      </c>
      <c r="C51" s="322"/>
      <c r="D51" s="322"/>
      <c r="E51" s="322"/>
      <c r="F51" s="322"/>
      <c r="G51" s="322"/>
      <c r="H51" s="322"/>
      <c r="I51" s="322"/>
      <c r="J51" s="322"/>
      <c r="K51" s="322"/>
      <c r="L51" s="322"/>
      <c r="M51" s="322"/>
      <c r="N51" s="322"/>
      <c r="O51" s="322"/>
      <c r="P51" s="322"/>
      <c r="Q51" s="322"/>
      <c r="R51" s="322"/>
      <c r="S51" s="322"/>
      <c r="T51" s="322"/>
      <c r="U51" s="322"/>
      <c r="V51" s="322"/>
    </row>
    <row r="52" spans="1:22" ht="15" customHeight="1" x14ac:dyDescent="0.25">
      <c r="A52" s="314"/>
      <c r="B52" s="323" t="s">
        <v>12</v>
      </c>
      <c r="C52" s="323"/>
      <c r="D52" s="320" t="e">
        <f>#REF!</f>
        <v>#REF!</v>
      </c>
      <c r="E52" s="321"/>
      <c r="F52" s="321"/>
      <c r="G52" s="321"/>
      <c r="H52" s="319" t="e">
        <f>#REF!</f>
        <v>#REF!</v>
      </c>
      <c r="I52" s="319"/>
      <c r="J52" s="319"/>
      <c r="K52" s="311" t="e">
        <f>#REF!</f>
        <v>#REF!</v>
      </c>
      <c r="L52" s="311"/>
      <c r="M52" s="311" t="e">
        <f>#REF!</f>
        <v>#REF!</v>
      </c>
      <c r="N52" s="311"/>
      <c r="O52" s="312" t="e">
        <f>#REF!</f>
        <v>#REF!</v>
      </c>
      <c r="P52" s="312"/>
      <c r="Q52" s="312"/>
      <c r="R52" s="307" t="e">
        <f>#REF!</f>
        <v>#REF!</v>
      </c>
      <c r="S52" s="308"/>
      <c r="T52" s="308"/>
      <c r="U52" s="308"/>
      <c r="V52" s="309"/>
    </row>
    <row r="53" spans="1:22" ht="14.25" customHeight="1" x14ac:dyDescent="0.25">
      <c r="A53" s="314"/>
      <c r="B53" s="315" t="s">
        <v>13</v>
      </c>
      <c r="C53" s="315"/>
      <c r="D53" s="296" t="e">
        <f>#REF!</f>
        <v>#REF!</v>
      </c>
      <c r="E53" s="297"/>
      <c r="F53" s="297"/>
      <c r="G53" s="297"/>
      <c r="H53" s="310" t="e">
        <f>#REF!</f>
        <v>#REF!</v>
      </c>
      <c r="I53" s="310"/>
      <c r="J53" s="310"/>
      <c r="K53" s="311" t="e">
        <f>#REF!</f>
        <v>#REF!</v>
      </c>
      <c r="L53" s="311"/>
      <c r="M53" s="311" t="e">
        <f>#REF!</f>
        <v>#REF!</v>
      </c>
      <c r="N53" s="311"/>
      <c r="O53" s="312" t="e">
        <f>#REF!</f>
        <v>#REF!</v>
      </c>
      <c r="P53" s="312"/>
      <c r="Q53" s="312"/>
      <c r="R53" s="307" t="e">
        <f>#REF!</f>
        <v>#REF!</v>
      </c>
      <c r="S53" s="308"/>
      <c r="T53" s="308"/>
      <c r="U53" s="308"/>
      <c r="V53" s="309"/>
    </row>
    <row r="54" spans="1:22" s="2" customFormat="1" ht="12.75" customHeight="1" x14ac:dyDescent="0.25">
      <c r="A54" s="314"/>
      <c r="B54" s="315" t="s">
        <v>14</v>
      </c>
      <c r="C54" s="315"/>
      <c r="D54" s="296" t="e">
        <f>#REF!</f>
        <v>#REF!</v>
      </c>
      <c r="E54" s="297"/>
      <c r="F54" s="297"/>
      <c r="G54" s="297"/>
      <c r="H54" s="310" t="e">
        <f>#REF!</f>
        <v>#REF!</v>
      </c>
      <c r="I54" s="310"/>
      <c r="J54" s="310"/>
      <c r="K54" s="311" t="e">
        <f>#REF!</f>
        <v>#REF!</v>
      </c>
      <c r="L54" s="311"/>
      <c r="M54" s="311" t="e">
        <f>#REF!</f>
        <v>#REF!</v>
      </c>
      <c r="N54" s="311"/>
      <c r="O54" s="312" t="e">
        <f>#REF!</f>
        <v>#REF!</v>
      </c>
      <c r="P54" s="312"/>
      <c r="Q54" s="312"/>
      <c r="R54" s="307" t="e">
        <f>#REF!</f>
        <v>#REF!</v>
      </c>
      <c r="S54" s="308"/>
      <c r="T54" s="308"/>
      <c r="U54" s="308"/>
      <c r="V54" s="309"/>
    </row>
    <row r="55" spans="1:22" ht="15" customHeight="1" x14ac:dyDescent="0.25">
      <c r="A55" s="314"/>
      <c r="B55" s="315" t="s">
        <v>15</v>
      </c>
      <c r="C55" s="315"/>
      <c r="D55" s="296" t="e">
        <f>#REF!</f>
        <v>#REF!</v>
      </c>
      <c r="E55" s="297"/>
      <c r="F55" s="297"/>
      <c r="G55" s="297"/>
      <c r="H55" s="310" t="e">
        <f>#REF!</f>
        <v>#REF!</v>
      </c>
      <c r="I55" s="310"/>
      <c r="J55" s="310"/>
      <c r="K55" s="311" t="e">
        <f>#REF!</f>
        <v>#REF!</v>
      </c>
      <c r="L55" s="311"/>
      <c r="M55" s="311" t="e">
        <f>#REF!</f>
        <v>#REF!</v>
      </c>
      <c r="N55" s="311"/>
      <c r="O55" s="312" t="e">
        <f>#REF!</f>
        <v>#REF!</v>
      </c>
      <c r="P55" s="312"/>
      <c r="Q55" s="312"/>
      <c r="R55" s="307" t="e">
        <f>#REF!</f>
        <v>#REF!</v>
      </c>
      <c r="S55" s="308"/>
      <c r="T55" s="308"/>
      <c r="U55" s="308"/>
      <c r="V55" s="309"/>
    </row>
    <row r="56" spans="1:22" ht="15" customHeight="1" x14ac:dyDescent="0.25">
      <c r="A56" s="314"/>
      <c r="B56" s="315" t="s">
        <v>16</v>
      </c>
      <c r="C56" s="315"/>
      <c r="D56" s="317" t="e">
        <f>#REF!</f>
        <v>#REF!</v>
      </c>
      <c r="E56" s="318"/>
      <c r="F56" s="318"/>
      <c r="G56" s="318"/>
      <c r="H56" s="310" t="e">
        <f>#REF!</f>
        <v>#REF!</v>
      </c>
      <c r="I56" s="310"/>
      <c r="J56" s="310"/>
      <c r="K56" s="311" t="e">
        <f>#REF!</f>
        <v>#REF!</v>
      </c>
      <c r="L56" s="311"/>
      <c r="M56" s="311" t="e">
        <f>#REF!</f>
        <v>#REF!</v>
      </c>
      <c r="N56" s="311"/>
      <c r="O56" s="312" t="e">
        <f>#REF!</f>
        <v>#REF!</v>
      </c>
      <c r="P56" s="312"/>
      <c r="Q56" s="312"/>
      <c r="R56" s="307" t="e">
        <f>#REF!</f>
        <v>#REF!</v>
      </c>
      <c r="S56" s="308"/>
      <c r="T56" s="308"/>
      <c r="U56" s="308"/>
      <c r="V56" s="309"/>
    </row>
    <row r="57" spans="1:22" ht="15" customHeight="1" x14ac:dyDescent="0.25">
      <c r="A57" s="314"/>
      <c r="B57" s="315" t="s">
        <v>17</v>
      </c>
      <c r="C57" s="315"/>
      <c r="D57" s="317" t="e">
        <f>#REF!</f>
        <v>#REF!</v>
      </c>
      <c r="E57" s="318"/>
      <c r="F57" s="318"/>
      <c r="G57" s="318"/>
      <c r="H57" s="310" t="e">
        <f>#REF!</f>
        <v>#REF!</v>
      </c>
      <c r="I57" s="310"/>
      <c r="J57" s="310"/>
      <c r="K57" s="311" t="e">
        <f>#REF!</f>
        <v>#REF!</v>
      </c>
      <c r="L57" s="311"/>
      <c r="M57" s="311" t="e">
        <f>#REF!</f>
        <v>#REF!</v>
      </c>
      <c r="N57" s="311"/>
      <c r="O57" s="312" t="e">
        <f>#REF!</f>
        <v>#REF!</v>
      </c>
      <c r="P57" s="312"/>
      <c r="Q57" s="312"/>
      <c r="R57" s="307" t="e">
        <f>#REF!</f>
        <v>#REF!</v>
      </c>
      <c r="S57" s="308"/>
      <c r="T57" s="308"/>
      <c r="U57" s="308"/>
      <c r="V57" s="309"/>
    </row>
    <row r="58" spans="1:22" ht="15" customHeight="1" x14ac:dyDescent="0.25">
      <c r="A58" s="314"/>
      <c r="B58" s="315" t="s">
        <v>18</v>
      </c>
      <c r="C58" s="315"/>
      <c r="D58" s="317" t="e">
        <f>#REF!</f>
        <v>#REF!</v>
      </c>
      <c r="E58" s="318"/>
      <c r="F58" s="318"/>
      <c r="G58" s="318"/>
      <c r="H58" s="310" t="e">
        <f>#REF!</f>
        <v>#REF!</v>
      </c>
      <c r="I58" s="310"/>
      <c r="J58" s="310"/>
      <c r="K58" s="311" t="e">
        <f>#REF!</f>
        <v>#REF!</v>
      </c>
      <c r="L58" s="311"/>
      <c r="M58" s="311" t="e">
        <f>#REF!</f>
        <v>#REF!</v>
      </c>
      <c r="N58" s="311"/>
      <c r="O58" s="312" t="e">
        <f>#REF!</f>
        <v>#REF!</v>
      </c>
      <c r="P58" s="312"/>
      <c r="Q58" s="312"/>
      <c r="R58" s="307" t="e">
        <f>#REF!</f>
        <v>#REF!</v>
      </c>
      <c r="S58" s="308"/>
      <c r="T58" s="308"/>
      <c r="U58" s="308"/>
      <c r="V58" s="309"/>
    </row>
    <row r="59" spans="1:22" ht="15" customHeight="1" x14ac:dyDescent="0.25">
      <c r="A59" s="314"/>
      <c r="B59" s="322" t="s">
        <v>283</v>
      </c>
      <c r="C59" s="322"/>
      <c r="D59" s="322"/>
      <c r="E59" s="322"/>
      <c r="F59" s="322"/>
      <c r="G59" s="322"/>
      <c r="H59" s="322"/>
      <c r="I59" s="322"/>
      <c r="J59" s="322"/>
      <c r="K59" s="322"/>
      <c r="L59" s="322"/>
      <c r="M59" s="322"/>
      <c r="N59" s="322"/>
      <c r="O59" s="322"/>
      <c r="P59" s="322"/>
      <c r="Q59" s="322"/>
      <c r="R59" s="322"/>
      <c r="S59" s="322"/>
      <c r="T59" s="322"/>
      <c r="U59" s="322"/>
      <c r="V59" s="322"/>
    </row>
    <row r="60" spans="1:22" ht="15" customHeight="1" x14ac:dyDescent="0.25">
      <c r="A60" s="314"/>
      <c r="B60" s="323" t="s">
        <v>12</v>
      </c>
      <c r="C60" s="323"/>
      <c r="D60" s="303"/>
      <c r="E60" s="304"/>
      <c r="F60" s="304"/>
      <c r="G60" s="304"/>
      <c r="H60" s="305" t="e">
        <f>#REF!</f>
        <v>#REF!</v>
      </c>
      <c r="I60" s="305"/>
      <c r="J60" s="305"/>
      <c r="K60" s="306" t="s">
        <v>201</v>
      </c>
      <c r="L60" s="306"/>
      <c r="M60" s="299" t="s">
        <v>201</v>
      </c>
      <c r="N60" s="299"/>
      <c r="O60" s="299" t="s">
        <v>201</v>
      </c>
      <c r="P60" s="299"/>
      <c r="Q60" s="299"/>
      <c r="R60" s="300" t="s">
        <v>201</v>
      </c>
      <c r="S60" s="301"/>
      <c r="T60" s="301"/>
      <c r="U60" s="301"/>
      <c r="V60" s="302"/>
    </row>
    <row r="61" spans="1:22" ht="15" customHeight="1" x14ac:dyDescent="0.25">
      <c r="A61" s="314"/>
      <c r="B61" s="315" t="s">
        <v>13</v>
      </c>
      <c r="C61" s="315"/>
      <c r="D61" s="303"/>
      <c r="E61" s="304"/>
      <c r="F61" s="304"/>
      <c r="G61" s="316"/>
      <c r="H61" s="305" t="e">
        <f>#REF!</f>
        <v>#REF!</v>
      </c>
      <c r="I61" s="305"/>
      <c r="J61" s="305"/>
      <c r="K61" s="306" t="s">
        <v>201</v>
      </c>
      <c r="L61" s="306"/>
      <c r="M61" s="299" t="s">
        <v>201</v>
      </c>
      <c r="N61" s="299"/>
      <c r="O61" s="299" t="s">
        <v>201</v>
      </c>
      <c r="P61" s="299"/>
      <c r="Q61" s="299"/>
      <c r="R61" s="300" t="s">
        <v>201</v>
      </c>
      <c r="S61" s="301"/>
      <c r="T61" s="301"/>
      <c r="U61" s="301"/>
      <c r="V61" s="302"/>
    </row>
    <row r="62" spans="1:22" ht="15" customHeight="1" x14ac:dyDescent="0.25">
      <c r="A62" s="314"/>
      <c r="B62" s="315" t="s">
        <v>14</v>
      </c>
      <c r="C62" s="315"/>
      <c r="D62" s="303"/>
      <c r="E62" s="304"/>
      <c r="F62" s="304"/>
      <c r="G62" s="304"/>
      <c r="H62" s="305" t="e">
        <f>#REF!</f>
        <v>#REF!</v>
      </c>
      <c r="I62" s="305"/>
      <c r="J62" s="305"/>
      <c r="K62" s="306" t="s">
        <v>201</v>
      </c>
      <c r="L62" s="306"/>
      <c r="M62" s="299" t="s">
        <v>201</v>
      </c>
      <c r="N62" s="299"/>
      <c r="O62" s="299" t="s">
        <v>201</v>
      </c>
      <c r="P62" s="299"/>
      <c r="Q62" s="299"/>
      <c r="R62" s="300" t="s">
        <v>201</v>
      </c>
      <c r="S62" s="301"/>
      <c r="T62" s="301"/>
      <c r="U62" s="301"/>
      <c r="V62" s="302"/>
    </row>
    <row r="63" spans="1:22" ht="15" customHeight="1" x14ac:dyDescent="0.25">
      <c r="A63" s="314"/>
      <c r="B63" s="315" t="s">
        <v>15</v>
      </c>
      <c r="C63" s="315"/>
      <c r="D63" s="303"/>
      <c r="E63" s="304"/>
      <c r="F63" s="304"/>
      <c r="G63" s="316"/>
      <c r="H63" s="305" t="e">
        <f>#REF!</f>
        <v>#REF!</v>
      </c>
      <c r="I63" s="305"/>
      <c r="J63" s="305"/>
      <c r="K63" s="306" t="s">
        <v>201</v>
      </c>
      <c r="L63" s="306"/>
      <c r="M63" s="299" t="s">
        <v>201</v>
      </c>
      <c r="N63" s="299"/>
      <c r="O63" s="299" t="s">
        <v>201</v>
      </c>
      <c r="P63" s="299"/>
      <c r="Q63" s="299"/>
      <c r="R63" s="300" t="s">
        <v>201</v>
      </c>
      <c r="S63" s="301"/>
      <c r="T63" s="301"/>
      <c r="U63" s="301"/>
      <c r="V63" s="302"/>
    </row>
    <row r="64" spans="1:22" ht="15" customHeight="1" x14ac:dyDescent="0.25">
      <c r="A64" s="314"/>
      <c r="B64" s="315" t="s">
        <v>16</v>
      </c>
      <c r="C64" s="315"/>
      <c r="D64" s="303"/>
      <c r="E64" s="304"/>
      <c r="F64" s="304"/>
      <c r="G64" s="304"/>
      <c r="H64" s="305" t="e">
        <f>#REF!</f>
        <v>#REF!</v>
      </c>
      <c r="I64" s="305"/>
      <c r="J64" s="305"/>
      <c r="K64" s="306" t="s">
        <v>201</v>
      </c>
      <c r="L64" s="306"/>
      <c r="M64" s="299" t="s">
        <v>201</v>
      </c>
      <c r="N64" s="299"/>
      <c r="O64" s="299" t="s">
        <v>201</v>
      </c>
      <c r="P64" s="299"/>
      <c r="Q64" s="299"/>
      <c r="R64" s="300" t="s">
        <v>201</v>
      </c>
      <c r="S64" s="301"/>
      <c r="T64" s="301"/>
      <c r="U64" s="301"/>
      <c r="V64" s="302"/>
    </row>
    <row r="65" spans="1:22" ht="15" customHeight="1" x14ac:dyDescent="0.25">
      <c r="A65" s="314"/>
      <c r="B65" s="315" t="s">
        <v>17</v>
      </c>
      <c r="C65" s="315"/>
      <c r="D65" s="303"/>
      <c r="E65" s="304"/>
      <c r="F65" s="304"/>
      <c r="G65" s="316"/>
      <c r="H65" s="305" t="e">
        <f>#REF!</f>
        <v>#REF!</v>
      </c>
      <c r="I65" s="305"/>
      <c r="J65" s="305"/>
      <c r="K65" s="306" t="s">
        <v>201</v>
      </c>
      <c r="L65" s="306"/>
      <c r="M65" s="299" t="s">
        <v>201</v>
      </c>
      <c r="N65" s="299"/>
      <c r="O65" s="299" t="s">
        <v>201</v>
      </c>
      <c r="P65" s="299"/>
      <c r="Q65" s="299"/>
      <c r="R65" s="300" t="s">
        <v>201</v>
      </c>
      <c r="S65" s="301"/>
      <c r="T65" s="301"/>
      <c r="U65" s="301"/>
      <c r="V65" s="302"/>
    </row>
    <row r="66" spans="1:22" ht="15" customHeight="1" x14ac:dyDescent="0.25">
      <c r="A66" s="314"/>
      <c r="B66" s="315" t="s">
        <v>18</v>
      </c>
      <c r="C66" s="315"/>
      <c r="D66" s="303"/>
      <c r="E66" s="304"/>
      <c r="F66" s="304"/>
      <c r="G66" s="304"/>
      <c r="H66" s="305" t="e">
        <f>#REF!</f>
        <v>#REF!</v>
      </c>
      <c r="I66" s="305"/>
      <c r="J66" s="305"/>
      <c r="K66" s="306" t="s">
        <v>201</v>
      </c>
      <c r="L66" s="306"/>
      <c r="M66" s="299" t="s">
        <v>201</v>
      </c>
      <c r="N66" s="299"/>
      <c r="O66" s="299" t="s">
        <v>201</v>
      </c>
      <c r="P66" s="299"/>
      <c r="Q66" s="299"/>
      <c r="R66" s="300" t="s">
        <v>201</v>
      </c>
      <c r="S66" s="301"/>
      <c r="T66" s="301"/>
      <c r="U66" s="301"/>
      <c r="V66" s="302"/>
    </row>
    <row r="67" spans="1:22" ht="24" customHeight="1" x14ac:dyDescent="0.25">
      <c r="A67" s="314"/>
      <c r="B67" s="322" t="s">
        <v>286</v>
      </c>
      <c r="C67" s="322"/>
      <c r="D67" s="322"/>
      <c r="E67" s="322"/>
      <c r="F67" s="322"/>
      <c r="G67" s="322"/>
      <c r="H67" s="322"/>
      <c r="I67" s="322"/>
      <c r="J67" s="322"/>
      <c r="K67" s="322"/>
      <c r="L67" s="322"/>
      <c r="M67" s="322"/>
      <c r="N67" s="322"/>
      <c r="O67" s="322"/>
      <c r="P67" s="322"/>
      <c r="Q67" s="322"/>
      <c r="R67" s="322"/>
      <c r="S67" s="322"/>
      <c r="T67" s="322"/>
      <c r="U67" s="322"/>
      <c r="V67" s="322"/>
    </row>
    <row r="68" spans="1:22" s="2" customFormat="1" x14ac:dyDescent="0.25">
      <c r="A68" s="314"/>
      <c r="B68" s="323" t="s">
        <v>12</v>
      </c>
      <c r="C68" s="323"/>
      <c r="D68" s="296" t="s">
        <v>201</v>
      </c>
      <c r="E68" s="297"/>
      <c r="F68" s="297"/>
      <c r="G68" s="297"/>
      <c r="H68" s="291" t="s">
        <v>201</v>
      </c>
      <c r="I68" s="291"/>
      <c r="J68" s="291"/>
      <c r="K68" s="291" t="s">
        <v>201</v>
      </c>
      <c r="L68" s="291"/>
      <c r="M68" s="292" t="s">
        <v>201</v>
      </c>
      <c r="N68" s="292"/>
      <c r="O68" s="292" t="s">
        <v>201</v>
      </c>
      <c r="P68" s="292"/>
      <c r="Q68" s="292"/>
      <c r="R68" s="293" t="s">
        <v>201</v>
      </c>
      <c r="S68" s="294"/>
      <c r="T68" s="294"/>
      <c r="U68" s="294"/>
      <c r="V68" s="295"/>
    </row>
    <row r="69" spans="1:22" ht="15" customHeight="1" x14ac:dyDescent="0.25">
      <c r="A69" s="314"/>
      <c r="B69" s="315" t="s">
        <v>13</v>
      </c>
      <c r="C69" s="315"/>
      <c r="D69" s="296" t="s">
        <v>201</v>
      </c>
      <c r="E69" s="297"/>
      <c r="F69" s="297"/>
      <c r="G69" s="297"/>
      <c r="H69" s="291" t="s">
        <v>201</v>
      </c>
      <c r="I69" s="291"/>
      <c r="J69" s="291"/>
      <c r="K69" s="291" t="s">
        <v>201</v>
      </c>
      <c r="L69" s="291"/>
      <c r="M69" s="292" t="s">
        <v>201</v>
      </c>
      <c r="N69" s="292"/>
      <c r="O69" s="292" t="s">
        <v>201</v>
      </c>
      <c r="P69" s="292"/>
      <c r="Q69" s="292"/>
      <c r="R69" s="293" t="s">
        <v>201</v>
      </c>
      <c r="S69" s="294"/>
      <c r="T69" s="294"/>
      <c r="U69" s="294"/>
      <c r="V69" s="295"/>
    </row>
    <row r="70" spans="1:22" ht="15" customHeight="1" x14ac:dyDescent="0.25">
      <c r="A70" s="314"/>
      <c r="B70" s="315" t="s">
        <v>14</v>
      </c>
      <c r="C70" s="315"/>
      <c r="D70" s="296" t="s">
        <v>201</v>
      </c>
      <c r="E70" s="297"/>
      <c r="F70" s="297"/>
      <c r="G70" s="297"/>
      <c r="H70" s="291" t="s">
        <v>201</v>
      </c>
      <c r="I70" s="291"/>
      <c r="J70" s="291"/>
      <c r="K70" s="291" t="s">
        <v>201</v>
      </c>
      <c r="L70" s="291"/>
      <c r="M70" s="292" t="s">
        <v>201</v>
      </c>
      <c r="N70" s="292"/>
      <c r="O70" s="292" t="s">
        <v>201</v>
      </c>
      <c r="P70" s="292"/>
      <c r="Q70" s="292"/>
      <c r="R70" s="293" t="s">
        <v>201</v>
      </c>
      <c r="S70" s="294"/>
      <c r="T70" s="294"/>
      <c r="U70" s="294"/>
      <c r="V70" s="295"/>
    </row>
    <row r="71" spans="1:22" ht="15" customHeight="1" x14ac:dyDescent="0.25">
      <c r="A71" s="314"/>
      <c r="B71" s="315" t="s">
        <v>15</v>
      </c>
      <c r="C71" s="315"/>
      <c r="D71" s="296" t="s">
        <v>201</v>
      </c>
      <c r="E71" s="297"/>
      <c r="F71" s="297"/>
      <c r="G71" s="297"/>
      <c r="H71" s="291" t="s">
        <v>201</v>
      </c>
      <c r="I71" s="291"/>
      <c r="J71" s="291"/>
      <c r="K71" s="291" t="s">
        <v>201</v>
      </c>
      <c r="L71" s="291"/>
      <c r="M71" s="292" t="s">
        <v>201</v>
      </c>
      <c r="N71" s="292"/>
      <c r="O71" s="292" t="s">
        <v>201</v>
      </c>
      <c r="P71" s="292"/>
      <c r="Q71" s="292"/>
      <c r="R71" s="293" t="s">
        <v>201</v>
      </c>
      <c r="S71" s="294"/>
      <c r="T71" s="294"/>
      <c r="U71" s="294"/>
      <c r="V71" s="295"/>
    </row>
    <row r="72" spans="1:22" x14ac:dyDescent="0.25">
      <c r="A72" s="314"/>
      <c r="B72" s="315" t="s">
        <v>16</v>
      </c>
      <c r="C72" s="315"/>
      <c r="D72" s="296" t="s">
        <v>201</v>
      </c>
      <c r="E72" s="297"/>
      <c r="F72" s="297"/>
      <c r="G72" s="297"/>
      <c r="H72" s="291" t="s">
        <v>201</v>
      </c>
      <c r="I72" s="291"/>
      <c r="J72" s="291"/>
      <c r="K72" s="291" t="s">
        <v>201</v>
      </c>
      <c r="L72" s="291"/>
      <c r="M72" s="292" t="s">
        <v>201</v>
      </c>
      <c r="N72" s="292"/>
      <c r="O72" s="292" t="s">
        <v>201</v>
      </c>
      <c r="P72" s="292"/>
      <c r="Q72" s="292"/>
      <c r="R72" s="293" t="s">
        <v>201</v>
      </c>
      <c r="S72" s="294"/>
      <c r="T72" s="294"/>
      <c r="U72" s="294"/>
      <c r="V72" s="295"/>
    </row>
    <row r="73" spans="1:22" x14ac:dyDescent="0.25">
      <c r="A73" s="314"/>
      <c r="B73" s="315" t="s">
        <v>17</v>
      </c>
      <c r="C73" s="315"/>
      <c r="D73" s="296" t="s">
        <v>201</v>
      </c>
      <c r="E73" s="297"/>
      <c r="F73" s="297"/>
      <c r="G73" s="297"/>
      <c r="H73" s="291" t="s">
        <v>201</v>
      </c>
      <c r="I73" s="291"/>
      <c r="J73" s="291"/>
      <c r="K73" s="291" t="s">
        <v>201</v>
      </c>
      <c r="L73" s="291"/>
      <c r="M73" s="292" t="s">
        <v>201</v>
      </c>
      <c r="N73" s="292"/>
      <c r="O73" s="292" t="s">
        <v>201</v>
      </c>
      <c r="P73" s="292"/>
      <c r="Q73" s="292"/>
      <c r="R73" s="293" t="s">
        <v>201</v>
      </c>
      <c r="S73" s="294"/>
      <c r="T73" s="294"/>
      <c r="U73" s="294"/>
      <c r="V73" s="295"/>
    </row>
    <row r="74" spans="1:22" ht="15" customHeight="1" x14ac:dyDescent="0.25">
      <c r="A74" s="314"/>
      <c r="B74" s="352" t="s">
        <v>18</v>
      </c>
      <c r="C74" s="352"/>
      <c r="D74" s="296" t="s">
        <v>201</v>
      </c>
      <c r="E74" s="297"/>
      <c r="F74" s="297"/>
      <c r="G74" s="297"/>
      <c r="H74" s="291" t="s">
        <v>201</v>
      </c>
      <c r="I74" s="291"/>
      <c r="J74" s="291"/>
      <c r="K74" s="291" t="s">
        <v>201</v>
      </c>
      <c r="L74" s="291"/>
      <c r="M74" s="292" t="s">
        <v>201</v>
      </c>
      <c r="N74" s="292"/>
      <c r="O74" s="292" t="s">
        <v>201</v>
      </c>
      <c r="P74" s="292"/>
      <c r="Q74" s="292"/>
      <c r="R74" s="293" t="s">
        <v>201</v>
      </c>
      <c r="S74" s="294"/>
      <c r="T74" s="294"/>
      <c r="U74" s="294"/>
      <c r="V74" s="295"/>
    </row>
    <row r="75" spans="1:22" ht="33.75" customHeight="1" x14ac:dyDescent="0.25">
      <c r="A75" s="347" t="s">
        <v>225</v>
      </c>
      <c r="B75" s="348"/>
      <c r="C75" s="348" t="s">
        <v>12</v>
      </c>
      <c r="D75" s="353" t="s">
        <v>10</v>
      </c>
      <c r="E75" s="353"/>
      <c r="F75" s="353"/>
      <c r="G75" s="353"/>
      <c r="H75" s="353"/>
      <c r="I75" s="353"/>
      <c r="J75" s="353"/>
      <c r="K75" s="353"/>
      <c r="L75" s="353"/>
      <c r="M75" s="353"/>
      <c r="N75" s="353"/>
      <c r="O75" s="353"/>
      <c r="P75" s="353"/>
      <c r="Q75" s="353"/>
      <c r="R75" s="353"/>
      <c r="S75" s="353"/>
      <c r="T75" s="353"/>
      <c r="U75" s="353"/>
      <c r="V75" s="354"/>
    </row>
    <row r="76" spans="1:22" x14ac:dyDescent="0.25">
      <c r="A76" s="349"/>
      <c r="B76" s="350"/>
      <c r="C76" s="351"/>
      <c r="D76" s="355"/>
      <c r="E76" s="355"/>
      <c r="F76" s="355"/>
      <c r="G76" s="355"/>
      <c r="H76" s="356"/>
      <c r="I76" s="356"/>
      <c r="J76" s="356"/>
      <c r="K76" s="357"/>
      <c r="L76" s="357"/>
      <c r="M76" s="358"/>
      <c r="N76" s="358"/>
      <c r="O76" s="358"/>
      <c r="P76" s="358"/>
      <c r="Q76" s="358"/>
      <c r="R76" s="298"/>
      <c r="S76" s="298"/>
      <c r="T76" s="298"/>
      <c r="U76" s="298"/>
      <c r="V76" s="298"/>
    </row>
    <row r="78" spans="1:22" x14ac:dyDescent="0.25">
      <c r="A78" t="s">
        <v>19</v>
      </c>
    </row>
    <row r="80" spans="1:22" x14ac:dyDescent="0.25">
      <c r="A80" t="s">
        <v>20</v>
      </c>
    </row>
    <row r="81" spans="1:13" x14ac:dyDescent="0.25">
      <c r="A81" t="s">
        <v>21</v>
      </c>
    </row>
    <row r="82" spans="1:13" x14ac:dyDescent="0.25">
      <c r="A82" t="s">
        <v>22</v>
      </c>
    </row>
    <row r="83" spans="1:13" x14ac:dyDescent="0.25">
      <c r="A83" t="s">
        <v>23</v>
      </c>
    </row>
    <row r="84" spans="1:13" x14ac:dyDescent="0.25">
      <c r="A84" t="s">
        <v>24</v>
      </c>
    </row>
    <row r="85" spans="1:13" x14ac:dyDescent="0.25">
      <c r="A85" t="s">
        <v>25</v>
      </c>
    </row>
    <row r="86" spans="1:13" x14ac:dyDescent="0.25">
      <c r="A86" t="s">
        <v>26</v>
      </c>
    </row>
    <row r="87" spans="1:13" x14ac:dyDescent="0.25">
      <c r="A87" t="s">
        <v>27</v>
      </c>
    </row>
    <row r="88" spans="1:13" x14ac:dyDescent="0.25">
      <c r="A88" t="s">
        <v>28</v>
      </c>
    </row>
    <row r="89" spans="1:13" x14ac:dyDescent="0.25">
      <c r="A89" t="s">
        <v>29</v>
      </c>
    </row>
    <row r="90" spans="1:13" x14ac:dyDescent="0.25">
      <c r="A90" t="s">
        <v>30</v>
      </c>
    </row>
    <row r="91" spans="1:13" x14ac:dyDescent="0.25">
      <c r="A91" s="57" t="s">
        <v>31</v>
      </c>
      <c r="B91" s="57"/>
      <c r="C91" s="57"/>
      <c r="D91" s="57"/>
      <c r="E91" s="57"/>
      <c r="F91" s="57"/>
      <c r="G91" s="57"/>
      <c r="H91" s="57"/>
      <c r="I91" s="57"/>
      <c r="J91" s="57"/>
      <c r="K91" s="57"/>
      <c r="L91" s="57"/>
      <c r="M91" s="57"/>
    </row>
    <row r="92" spans="1:13" x14ac:dyDescent="0.25">
      <c r="A92" s="57"/>
      <c r="B92" s="57"/>
      <c r="C92" s="57"/>
      <c r="D92" s="57"/>
      <c r="E92" s="57"/>
      <c r="F92" s="57"/>
      <c r="G92" s="57"/>
      <c r="H92" s="57"/>
      <c r="I92" s="57"/>
      <c r="J92" s="57"/>
      <c r="K92" s="57"/>
      <c r="L92" s="57"/>
      <c r="M92" s="57"/>
    </row>
    <row r="93" spans="1:13" x14ac:dyDescent="0.25">
      <c r="A93" s="57" t="s">
        <v>32</v>
      </c>
      <c r="C93" s="57"/>
      <c r="D93" s="57"/>
      <c r="E93" s="57"/>
      <c r="F93" s="57"/>
      <c r="G93" s="57"/>
      <c r="H93" s="57"/>
      <c r="I93" s="57"/>
      <c r="J93" s="57"/>
      <c r="K93" s="57"/>
      <c r="L93" s="57"/>
      <c r="M93" s="57"/>
    </row>
    <row r="94" spans="1:13" x14ac:dyDescent="0.25">
      <c r="A94" t="s">
        <v>33</v>
      </c>
    </row>
    <row r="95" spans="1:13" x14ac:dyDescent="0.25">
      <c r="A95" t="s">
        <v>34</v>
      </c>
    </row>
    <row r="96" spans="1:13" x14ac:dyDescent="0.25">
      <c r="A96" t="s">
        <v>35</v>
      </c>
    </row>
    <row r="97" spans="1:1" x14ac:dyDescent="0.25">
      <c r="A97" t="s">
        <v>36</v>
      </c>
    </row>
    <row r="98" spans="1:1" x14ac:dyDescent="0.25">
      <c r="A98" t="s">
        <v>37</v>
      </c>
    </row>
    <row r="99" spans="1:1" x14ac:dyDescent="0.25">
      <c r="A99" t="s">
        <v>38</v>
      </c>
    </row>
    <row r="100" spans="1:1" x14ac:dyDescent="0.25">
      <c r="A100" t="s">
        <v>39</v>
      </c>
    </row>
    <row r="101" spans="1:1" x14ac:dyDescent="0.25">
      <c r="A101" t="s">
        <v>40</v>
      </c>
    </row>
    <row r="102" spans="1:1" x14ac:dyDescent="0.25">
      <c r="A102" t="s">
        <v>41</v>
      </c>
    </row>
    <row r="103" spans="1:1" x14ac:dyDescent="0.25">
      <c r="A103" t="s">
        <v>42</v>
      </c>
    </row>
    <row r="104" spans="1:1" x14ac:dyDescent="0.25">
      <c r="A104" t="s">
        <v>43</v>
      </c>
    </row>
    <row r="105" spans="1:1" x14ac:dyDescent="0.25">
      <c r="A105" t="s">
        <v>44</v>
      </c>
    </row>
    <row r="106" spans="1:1" x14ac:dyDescent="0.25">
      <c r="A106" t="s">
        <v>45</v>
      </c>
    </row>
    <row r="107" spans="1:1" x14ac:dyDescent="0.25">
      <c r="A107" t="s">
        <v>46</v>
      </c>
    </row>
    <row r="108" spans="1:1" x14ac:dyDescent="0.25">
      <c r="A108" t="s">
        <v>47</v>
      </c>
    </row>
    <row r="109" spans="1:1" x14ac:dyDescent="0.25">
      <c r="A109" t="s">
        <v>48</v>
      </c>
    </row>
  </sheetData>
  <mergeCells count="345">
    <mergeCell ref="O44:Q44"/>
    <mergeCell ref="O45:Q45"/>
    <mergeCell ref="O46:Q46"/>
    <mergeCell ref="O47:Q47"/>
    <mergeCell ref="O48:Q48"/>
    <mergeCell ref="O49:Q49"/>
    <mergeCell ref="O50:Q50"/>
    <mergeCell ref="R44:V44"/>
    <mergeCell ref="R45:V45"/>
    <mergeCell ref="R46:V46"/>
    <mergeCell ref="R47:V47"/>
    <mergeCell ref="R48:V48"/>
    <mergeCell ref="R49:V49"/>
    <mergeCell ref="R50:V50"/>
    <mergeCell ref="K44:L44"/>
    <mergeCell ref="K45:L45"/>
    <mergeCell ref="K46:L46"/>
    <mergeCell ref="K47:L47"/>
    <mergeCell ref="K48:L48"/>
    <mergeCell ref="K49:L49"/>
    <mergeCell ref="K50:L50"/>
    <mergeCell ref="M44:N44"/>
    <mergeCell ref="M45:N45"/>
    <mergeCell ref="M46:N46"/>
    <mergeCell ref="M47:N47"/>
    <mergeCell ref="M48:N48"/>
    <mergeCell ref="M49:N49"/>
    <mergeCell ref="M50:N50"/>
    <mergeCell ref="D49:G49"/>
    <mergeCell ref="D50:G50"/>
    <mergeCell ref="H44:J44"/>
    <mergeCell ref="H45:J45"/>
    <mergeCell ref="H46:J46"/>
    <mergeCell ref="H47:J47"/>
    <mergeCell ref="H48:J48"/>
    <mergeCell ref="H49:J49"/>
    <mergeCell ref="H50:J50"/>
    <mergeCell ref="B9:L9"/>
    <mergeCell ref="M9:P9"/>
    <mergeCell ref="Q9:V9"/>
    <mergeCell ref="B10:V10"/>
    <mergeCell ref="B11:V11"/>
    <mergeCell ref="B12:V12"/>
    <mergeCell ref="D29:E29"/>
    <mergeCell ref="D27:E27"/>
    <mergeCell ref="D28:E28"/>
    <mergeCell ref="G27:H27"/>
    <mergeCell ref="G29:H29"/>
    <mergeCell ref="G28:H28"/>
    <mergeCell ref="J27:K27"/>
    <mergeCell ref="J28:K28"/>
    <mergeCell ref="J29:K29"/>
    <mergeCell ref="N27:O27"/>
    <mergeCell ref="N28:O28"/>
    <mergeCell ref="N29:O29"/>
    <mergeCell ref="P27:R27"/>
    <mergeCell ref="P28:R28"/>
    <mergeCell ref="P29:R29"/>
    <mergeCell ref="S27:T27"/>
    <mergeCell ref="S29:T29"/>
    <mergeCell ref="U27:V27"/>
    <mergeCell ref="B17:V17"/>
    <mergeCell ref="B18:V18"/>
    <mergeCell ref="A19:A21"/>
    <mergeCell ref="B19:V19"/>
    <mergeCell ref="B20:V20"/>
    <mergeCell ref="B21:V21"/>
    <mergeCell ref="A13:A16"/>
    <mergeCell ref="B13:V13"/>
    <mergeCell ref="B14:V14"/>
    <mergeCell ref="B15:V15"/>
    <mergeCell ref="B16:V16"/>
    <mergeCell ref="P30:R30"/>
    <mergeCell ref="S30:T30"/>
    <mergeCell ref="U30:V30"/>
    <mergeCell ref="A22:A24"/>
    <mergeCell ref="B22:V22"/>
    <mergeCell ref="B23:V23"/>
    <mergeCell ref="B24:V24"/>
    <mergeCell ref="A25:A31"/>
    <mergeCell ref="B25:B26"/>
    <mergeCell ref="C25:C26"/>
    <mergeCell ref="D25:E26"/>
    <mergeCell ref="F25:V25"/>
    <mergeCell ref="U28:V28"/>
    <mergeCell ref="U29:V29"/>
    <mergeCell ref="S28:T28"/>
    <mergeCell ref="J26:K26"/>
    <mergeCell ref="N26:O26"/>
    <mergeCell ref="P26:R26"/>
    <mergeCell ref="S26:T26"/>
    <mergeCell ref="U26:V26"/>
    <mergeCell ref="G26:I26"/>
    <mergeCell ref="L26:M26"/>
    <mergeCell ref="G30:I30"/>
    <mergeCell ref="L30:M30"/>
    <mergeCell ref="B32:C33"/>
    <mergeCell ref="H34:J34"/>
    <mergeCell ref="M34:N34"/>
    <mergeCell ref="O34:Q34"/>
    <mergeCell ref="D32:V32"/>
    <mergeCell ref="K33:L33"/>
    <mergeCell ref="K34:L34"/>
    <mergeCell ref="H33:J33"/>
    <mergeCell ref="R33:V33"/>
    <mergeCell ref="R34:V34"/>
    <mergeCell ref="M33:N33"/>
    <mergeCell ref="O33:Q33"/>
    <mergeCell ref="D33:G33"/>
    <mergeCell ref="D34:G34"/>
    <mergeCell ref="R37:V37"/>
    <mergeCell ref="R38:V38"/>
    <mergeCell ref="O35:Q35"/>
    <mergeCell ref="M36:N36"/>
    <mergeCell ref="O36:Q36"/>
    <mergeCell ref="H35:J35"/>
    <mergeCell ref="M35:N35"/>
    <mergeCell ref="K35:L35"/>
    <mergeCell ref="K36:L36"/>
    <mergeCell ref="H36:J36"/>
    <mergeCell ref="R35:V35"/>
    <mergeCell ref="R36:V36"/>
    <mergeCell ref="O38:Q38"/>
    <mergeCell ref="O37:Q37"/>
    <mergeCell ref="O76:Q76"/>
    <mergeCell ref="R72:V72"/>
    <mergeCell ref="D41:V41"/>
    <mergeCell ref="O39:Q39"/>
    <mergeCell ref="H40:J40"/>
    <mergeCell ref="M40:N40"/>
    <mergeCell ref="O40:Q40"/>
    <mergeCell ref="H39:J39"/>
    <mergeCell ref="M39:N39"/>
    <mergeCell ref="K39:L39"/>
    <mergeCell ref="K40:L40"/>
    <mergeCell ref="D39:G39"/>
    <mergeCell ref="D40:G40"/>
    <mergeCell ref="R39:V39"/>
    <mergeCell ref="R40:V40"/>
    <mergeCell ref="M62:N62"/>
    <mergeCell ref="O62:Q62"/>
    <mergeCell ref="R62:V62"/>
    <mergeCell ref="M42:N42"/>
    <mergeCell ref="O42:Q42"/>
    <mergeCell ref="R42:V42"/>
    <mergeCell ref="B43:V43"/>
    <mergeCell ref="D54:G54"/>
    <mergeCell ref="D55:G55"/>
    <mergeCell ref="B58:C58"/>
    <mergeCell ref="B73:C73"/>
    <mergeCell ref="A75:B76"/>
    <mergeCell ref="C75:C76"/>
    <mergeCell ref="B55:C55"/>
    <mergeCell ref="B68:C68"/>
    <mergeCell ref="B69:C69"/>
    <mergeCell ref="B70:C70"/>
    <mergeCell ref="B71:C71"/>
    <mergeCell ref="B72:C72"/>
    <mergeCell ref="B74:C74"/>
    <mergeCell ref="B67:V67"/>
    <mergeCell ref="D75:V75"/>
    <mergeCell ref="D72:G72"/>
    <mergeCell ref="H72:J72"/>
    <mergeCell ref="K72:L72"/>
    <mergeCell ref="M72:N72"/>
    <mergeCell ref="O72:Q72"/>
    <mergeCell ref="D73:G73"/>
    <mergeCell ref="R71:V71"/>
    <mergeCell ref="D76:G76"/>
    <mergeCell ref="H76:J76"/>
    <mergeCell ref="K76:L76"/>
    <mergeCell ref="M76:N76"/>
    <mergeCell ref="A7:V7"/>
    <mergeCell ref="B60:C60"/>
    <mergeCell ref="B59:V59"/>
    <mergeCell ref="B34:C34"/>
    <mergeCell ref="B35:C35"/>
    <mergeCell ref="B36:C36"/>
    <mergeCell ref="B37:C37"/>
    <mergeCell ref="B38:C38"/>
    <mergeCell ref="B39:C39"/>
    <mergeCell ref="B40:C40"/>
    <mergeCell ref="D31:E31"/>
    <mergeCell ref="G31:H31"/>
    <mergeCell ref="J31:K31"/>
    <mergeCell ref="N31:O31"/>
    <mergeCell ref="P31:R31"/>
    <mergeCell ref="S31:T31"/>
    <mergeCell ref="U31:V31"/>
    <mergeCell ref="B41:C42"/>
    <mergeCell ref="B54:C54"/>
    <mergeCell ref="B56:C56"/>
    <mergeCell ref="B57:C57"/>
    <mergeCell ref="D42:G42"/>
    <mergeCell ref="H42:J42"/>
    <mergeCell ref="K42:L42"/>
    <mergeCell ref="B65:C65"/>
    <mergeCell ref="B66:C66"/>
    <mergeCell ref="B63:C63"/>
    <mergeCell ref="B64:C64"/>
    <mergeCell ref="B61:C61"/>
    <mergeCell ref="B62:C62"/>
    <mergeCell ref="D62:G62"/>
    <mergeCell ref="H62:J62"/>
    <mergeCell ref="K62:L62"/>
    <mergeCell ref="D63:G63"/>
    <mergeCell ref="H63:J63"/>
    <mergeCell ref="K63:L63"/>
    <mergeCell ref="D65:G65"/>
    <mergeCell ref="H65:J65"/>
    <mergeCell ref="K65:L65"/>
    <mergeCell ref="H64:J64"/>
    <mergeCell ref="K64:L64"/>
    <mergeCell ref="D30:E30"/>
    <mergeCell ref="J30:K30"/>
    <mergeCell ref="N30:O30"/>
    <mergeCell ref="B44:C44"/>
    <mergeCell ref="B45:C45"/>
    <mergeCell ref="B46:C46"/>
    <mergeCell ref="B47:C47"/>
    <mergeCell ref="B48:C48"/>
    <mergeCell ref="B49:C49"/>
    <mergeCell ref="D44:G44"/>
    <mergeCell ref="D45:G45"/>
    <mergeCell ref="D46:G46"/>
    <mergeCell ref="D47:G47"/>
    <mergeCell ref="D48:G48"/>
    <mergeCell ref="D35:G35"/>
    <mergeCell ref="D36:G36"/>
    <mergeCell ref="H38:J38"/>
    <mergeCell ref="M38:N38"/>
    <mergeCell ref="H37:J37"/>
    <mergeCell ref="M37:N37"/>
    <mergeCell ref="K37:L37"/>
    <mergeCell ref="K38:L38"/>
    <mergeCell ref="D37:G37"/>
    <mergeCell ref="D38:G38"/>
    <mergeCell ref="B50:C50"/>
    <mergeCell ref="R54:V54"/>
    <mergeCell ref="H55:J55"/>
    <mergeCell ref="K55:L55"/>
    <mergeCell ref="M55:N55"/>
    <mergeCell ref="O55:Q55"/>
    <mergeCell ref="R55:V55"/>
    <mergeCell ref="H56:J56"/>
    <mergeCell ref="K56:L56"/>
    <mergeCell ref="D52:G52"/>
    <mergeCell ref="D53:G53"/>
    <mergeCell ref="B51:V51"/>
    <mergeCell ref="B52:C52"/>
    <mergeCell ref="D57:G57"/>
    <mergeCell ref="D58:G58"/>
    <mergeCell ref="D56:G56"/>
    <mergeCell ref="H52:J52"/>
    <mergeCell ref="K52:L52"/>
    <mergeCell ref="M52:N52"/>
    <mergeCell ref="O52:Q52"/>
    <mergeCell ref="R52:V52"/>
    <mergeCell ref="H53:J53"/>
    <mergeCell ref="K53:L53"/>
    <mergeCell ref="M53:N53"/>
    <mergeCell ref="O53:Q53"/>
    <mergeCell ref="R53:V53"/>
    <mergeCell ref="H54:J54"/>
    <mergeCell ref="K54:L54"/>
    <mergeCell ref="M54:N54"/>
    <mergeCell ref="O54:Q54"/>
    <mergeCell ref="M56:N56"/>
    <mergeCell ref="O56:Q56"/>
    <mergeCell ref="R56:V56"/>
    <mergeCell ref="H57:J57"/>
    <mergeCell ref="K57:L57"/>
    <mergeCell ref="M57:N57"/>
    <mergeCell ref="O57:Q57"/>
    <mergeCell ref="R57:V57"/>
    <mergeCell ref="H58:J58"/>
    <mergeCell ref="K58:L58"/>
    <mergeCell ref="M58:N58"/>
    <mergeCell ref="O58:Q58"/>
    <mergeCell ref="R58:V58"/>
    <mergeCell ref="A32:A74"/>
    <mergeCell ref="B53:C53"/>
    <mergeCell ref="D60:G60"/>
    <mergeCell ref="H60:J60"/>
    <mergeCell ref="K60:L60"/>
    <mergeCell ref="M60:N60"/>
    <mergeCell ref="O60:Q60"/>
    <mergeCell ref="R60:V60"/>
    <mergeCell ref="D61:G61"/>
    <mergeCell ref="H61:J61"/>
    <mergeCell ref="K61:L61"/>
    <mergeCell ref="M61:N61"/>
    <mergeCell ref="O61:Q61"/>
    <mergeCell ref="R61:V61"/>
    <mergeCell ref="M63:N63"/>
    <mergeCell ref="O63:Q63"/>
    <mergeCell ref="R63:V63"/>
    <mergeCell ref="D64:G64"/>
    <mergeCell ref="M64:N64"/>
    <mergeCell ref="O64:Q64"/>
    <mergeCell ref="R64:V64"/>
    <mergeCell ref="M65:N65"/>
    <mergeCell ref="O65:Q65"/>
    <mergeCell ref="R65:V65"/>
    <mergeCell ref="D66:G66"/>
    <mergeCell ref="H66:J66"/>
    <mergeCell ref="K66:L66"/>
    <mergeCell ref="M66:N66"/>
    <mergeCell ref="O66:Q66"/>
    <mergeCell ref="R66:V66"/>
    <mergeCell ref="R76:V76"/>
    <mergeCell ref="D68:G68"/>
    <mergeCell ref="H68:J68"/>
    <mergeCell ref="K68:L68"/>
    <mergeCell ref="M68:N68"/>
    <mergeCell ref="O68:Q68"/>
    <mergeCell ref="R68:V68"/>
    <mergeCell ref="D69:G69"/>
    <mergeCell ref="H69:J69"/>
    <mergeCell ref="K69:L69"/>
    <mergeCell ref="M69:N69"/>
    <mergeCell ref="O69:Q69"/>
    <mergeCell ref="R69:V69"/>
    <mergeCell ref="D70:G70"/>
    <mergeCell ref="H70:J70"/>
    <mergeCell ref="K70:L70"/>
    <mergeCell ref="M70:N70"/>
    <mergeCell ref="O70:Q70"/>
    <mergeCell ref="R70:V70"/>
    <mergeCell ref="D71:G71"/>
    <mergeCell ref="H71:J71"/>
    <mergeCell ref="K71:L71"/>
    <mergeCell ref="M71:N71"/>
    <mergeCell ref="O71:Q71"/>
    <mergeCell ref="H73:J73"/>
    <mergeCell ref="K73:L73"/>
    <mergeCell ref="M73:N73"/>
    <mergeCell ref="O73:Q73"/>
    <mergeCell ref="R73:V73"/>
    <mergeCell ref="D74:G74"/>
    <mergeCell ref="H74:J74"/>
    <mergeCell ref="K74:L74"/>
    <mergeCell ref="M74:N74"/>
    <mergeCell ref="O74:Q74"/>
    <mergeCell ref="R74:V74"/>
  </mergeCells>
  <pageMargins left="0.7" right="0.7" top="0.75" bottom="0.75" header="0.3" footer="0.3"/>
  <pageSetup paperSize="9" scale="47" orientation="landscape" r:id="rId1"/>
  <rowBreaks count="1" manualBreakCount="1">
    <brk id="40" max="21"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1" tint="4.9989318521683403E-2"/>
  </sheetPr>
  <dimension ref="A1:X371"/>
  <sheetViews>
    <sheetView workbookViewId="0">
      <selection activeCell="L55" sqref="L55"/>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8" style="95" hidden="1" customWidth="1"/>
    <col min="10" max="10" width="21.85546875" style="21" customWidth="1"/>
    <col min="11" max="11" width="17.28515625" style="21" customWidth="1"/>
    <col min="12" max="12" width="19.28515625" style="21" customWidth="1"/>
    <col min="13" max="13" width="0" style="21" hidden="1" customWidth="1"/>
    <col min="14" max="14" width="19.28515625" style="21" hidden="1" customWidth="1"/>
    <col min="15" max="15" width="22.5703125" style="21" hidden="1" customWidth="1"/>
    <col min="16" max="16" width="19.85546875" style="21" hidden="1" customWidth="1"/>
    <col min="17" max="17" width="25.5703125" style="21" hidden="1" customWidth="1"/>
    <col min="18" max="18" width="17.7109375" style="88" hidden="1" customWidth="1"/>
    <col min="19" max="19" width="15.140625" style="21" customWidth="1"/>
    <col min="20" max="16384" width="9.140625" style="21"/>
  </cols>
  <sheetData>
    <row r="1" spans="1:23" ht="15.75" x14ac:dyDescent="0.25">
      <c r="L1" s="22" t="s">
        <v>84</v>
      </c>
    </row>
    <row r="2" spans="1:23" x14ac:dyDescent="0.25">
      <c r="A2" s="439" t="s">
        <v>85</v>
      </c>
      <c r="B2" s="439"/>
      <c r="C2" s="439"/>
      <c r="D2" s="439"/>
      <c r="E2" s="439"/>
      <c r="F2" s="439"/>
      <c r="G2" s="439"/>
      <c r="H2" s="439"/>
      <c r="I2" s="439"/>
      <c r="J2" s="439"/>
      <c r="K2" s="439"/>
      <c r="L2" s="439"/>
    </row>
    <row r="3" spans="1:23" ht="15.75" x14ac:dyDescent="0.25">
      <c r="A3" s="23"/>
    </row>
    <row r="4" spans="1:23" x14ac:dyDescent="0.25">
      <c r="A4" s="440" t="s">
        <v>80</v>
      </c>
      <c r="B4" s="440" t="s">
        <v>86</v>
      </c>
      <c r="C4" s="440" t="s">
        <v>87</v>
      </c>
      <c r="D4" s="440" t="s">
        <v>9</v>
      </c>
      <c r="E4" s="440" t="s">
        <v>88</v>
      </c>
      <c r="F4" s="440"/>
      <c r="G4" s="440"/>
      <c r="H4" s="440"/>
      <c r="I4" s="440"/>
      <c r="J4" s="440"/>
      <c r="K4" s="440"/>
      <c r="L4" s="440"/>
      <c r="N4" s="21" t="s">
        <v>230</v>
      </c>
      <c r="O4" s="21" t="s">
        <v>231</v>
      </c>
      <c r="P4" s="127" t="s">
        <v>229</v>
      </c>
    </row>
    <row r="5" spans="1:23" x14ac:dyDescent="0.25">
      <c r="A5" s="440"/>
      <c r="B5" s="440"/>
      <c r="C5" s="440"/>
      <c r="D5" s="440"/>
      <c r="E5" s="440" t="s">
        <v>77</v>
      </c>
      <c r="F5" s="440"/>
      <c r="G5" s="440"/>
      <c r="H5" s="440"/>
      <c r="I5" s="440"/>
      <c r="J5" s="440"/>
      <c r="K5" s="440"/>
      <c r="L5" s="440"/>
    </row>
    <row r="6" spans="1:23" x14ac:dyDescent="0.25">
      <c r="A6" s="440"/>
      <c r="B6" s="440"/>
      <c r="C6" s="440"/>
      <c r="D6" s="440"/>
      <c r="E6" s="108" t="s">
        <v>12</v>
      </c>
      <c r="F6" s="108" t="s">
        <v>138</v>
      </c>
      <c r="G6" s="108" t="s">
        <v>139</v>
      </c>
      <c r="H6" s="108" t="s">
        <v>140</v>
      </c>
      <c r="I6" s="128" t="s">
        <v>114</v>
      </c>
      <c r="J6" s="108" t="s">
        <v>115</v>
      </c>
      <c r="K6" s="108" t="s">
        <v>116</v>
      </c>
      <c r="L6" s="108" t="s">
        <v>117</v>
      </c>
      <c r="P6" s="108" t="s">
        <v>114</v>
      </c>
    </row>
    <row r="7" spans="1:23" s="26" customFormat="1" ht="12" x14ac:dyDescent="0.2">
      <c r="A7" s="24">
        <v>1</v>
      </c>
      <c r="B7" s="25">
        <v>2</v>
      </c>
      <c r="C7" s="24">
        <v>3</v>
      </c>
      <c r="D7" s="24">
        <v>4</v>
      </c>
      <c r="E7" s="24">
        <v>5</v>
      </c>
      <c r="F7" s="24">
        <v>6</v>
      </c>
      <c r="G7" s="24">
        <v>7</v>
      </c>
      <c r="H7" s="24">
        <v>8</v>
      </c>
      <c r="I7" s="129">
        <v>9</v>
      </c>
      <c r="J7" s="24">
        <v>10</v>
      </c>
      <c r="K7" s="24">
        <v>11</v>
      </c>
      <c r="L7" s="24">
        <v>12</v>
      </c>
      <c r="P7" s="24">
        <v>9</v>
      </c>
      <c r="R7" s="89"/>
    </row>
    <row r="8" spans="1:23" x14ac:dyDescent="0.25">
      <c r="A8" s="441" t="s">
        <v>226</v>
      </c>
      <c r="B8" s="441"/>
      <c r="C8" s="441"/>
      <c r="D8" s="441"/>
      <c r="E8" s="441"/>
      <c r="F8" s="441"/>
      <c r="G8" s="441"/>
      <c r="H8" s="441"/>
      <c r="I8" s="441"/>
      <c r="J8" s="441"/>
      <c r="K8" s="441"/>
      <c r="L8" s="441"/>
    </row>
    <row r="9" spans="1:23" hidden="1" x14ac:dyDescent="0.25">
      <c r="A9" s="442"/>
      <c r="B9" s="443"/>
      <c r="C9" s="444"/>
      <c r="D9" s="106" t="s">
        <v>12</v>
      </c>
      <c r="E9" s="28">
        <f>SUM(F9:L9)</f>
        <v>0</v>
      </c>
      <c r="F9" s="28">
        <f t="shared" ref="F9:H9" si="0">SUM(F10:F15)</f>
        <v>0</v>
      </c>
      <c r="G9" s="28">
        <f t="shared" si="0"/>
        <v>0</v>
      </c>
      <c r="H9" s="28">
        <f t="shared" si="0"/>
        <v>0</v>
      </c>
      <c r="I9" s="130">
        <f>SUM(I10:I15)</f>
        <v>0</v>
      </c>
      <c r="J9" s="28">
        <f t="shared" ref="J9:L9" si="1">SUM(J10:J15)</f>
        <v>0</v>
      </c>
      <c r="K9" s="27">
        <f t="shared" si="1"/>
        <v>0</v>
      </c>
      <c r="L9" s="27">
        <f t="shared" si="1"/>
        <v>0</v>
      </c>
      <c r="P9" s="28">
        <f>SUM(P10:P15)</f>
        <v>0</v>
      </c>
    </row>
    <row r="10" spans="1:23" ht="18.75" hidden="1" x14ac:dyDescent="0.3">
      <c r="A10" s="442"/>
      <c r="B10" s="443"/>
      <c r="C10" s="444"/>
      <c r="D10" s="106" t="s">
        <v>13</v>
      </c>
      <c r="E10" s="28">
        <f t="shared" ref="E10:E78" si="2">SUM(F10:L10)</f>
        <v>0</v>
      </c>
      <c r="F10" s="28"/>
      <c r="G10" s="28"/>
      <c r="H10" s="28"/>
      <c r="I10" s="130">
        <v>0</v>
      </c>
      <c r="J10" s="33">
        <v>0</v>
      </c>
      <c r="K10" s="27">
        <v>0</v>
      </c>
      <c r="L10" s="27">
        <v>0</v>
      </c>
      <c r="M10" s="81"/>
      <c r="N10" s="81"/>
      <c r="O10" s="81"/>
      <c r="P10" s="28">
        <v>0</v>
      </c>
      <c r="Q10" s="81"/>
      <c r="R10" s="131"/>
      <c r="S10" s="81"/>
      <c r="T10" s="81"/>
      <c r="U10" s="81"/>
      <c r="V10" s="29"/>
      <c r="W10" s="29"/>
    </row>
    <row r="11" spans="1:23" hidden="1" x14ac:dyDescent="0.25">
      <c r="A11" s="442"/>
      <c r="B11" s="443"/>
      <c r="C11" s="444"/>
      <c r="D11" s="106" t="s">
        <v>14</v>
      </c>
      <c r="E11" s="28">
        <f t="shared" si="2"/>
        <v>0</v>
      </c>
      <c r="F11" s="28">
        <v>0</v>
      </c>
      <c r="G11" s="28">
        <v>0</v>
      </c>
      <c r="H11" s="28">
        <v>0</v>
      </c>
      <c r="I11" s="130">
        <v>0</v>
      </c>
      <c r="J11" s="28">
        <v>0</v>
      </c>
      <c r="K11" s="28">
        <v>0</v>
      </c>
      <c r="L11" s="28">
        <v>0</v>
      </c>
      <c r="P11" s="28">
        <v>0</v>
      </c>
    </row>
    <row r="12" spans="1:23" hidden="1" x14ac:dyDescent="0.25">
      <c r="A12" s="442"/>
      <c r="B12" s="443"/>
      <c r="C12" s="444"/>
      <c r="D12" s="106" t="s">
        <v>15</v>
      </c>
      <c r="E12" s="28">
        <f t="shared" si="2"/>
        <v>0</v>
      </c>
      <c r="F12" s="28">
        <v>0</v>
      </c>
      <c r="G12" s="28">
        <v>0</v>
      </c>
      <c r="H12" s="28">
        <v>0</v>
      </c>
      <c r="I12" s="130">
        <v>0</v>
      </c>
      <c r="J12" s="28">
        <v>0</v>
      </c>
      <c r="K12" s="28">
        <v>0</v>
      </c>
      <c r="L12" s="28">
        <v>0</v>
      </c>
      <c r="P12" s="28">
        <v>0</v>
      </c>
    </row>
    <row r="13" spans="1:23" ht="30" hidden="1" x14ac:dyDescent="0.25">
      <c r="A13" s="442"/>
      <c r="B13" s="443"/>
      <c r="C13" s="444"/>
      <c r="D13" s="105" t="s">
        <v>89</v>
      </c>
      <c r="E13" s="28">
        <f t="shared" si="2"/>
        <v>0</v>
      </c>
      <c r="F13" s="28">
        <v>0</v>
      </c>
      <c r="G13" s="28">
        <v>0</v>
      </c>
      <c r="H13" s="28">
        <v>0</v>
      </c>
      <c r="I13" s="130">
        <v>0</v>
      </c>
      <c r="J13" s="28">
        <v>0</v>
      </c>
      <c r="K13" s="28">
        <v>0</v>
      </c>
      <c r="L13" s="28">
        <v>0</v>
      </c>
      <c r="P13" s="28">
        <v>0</v>
      </c>
    </row>
    <row r="14" spans="1:23" hidden="1" x14ac:dyDescent="0.25">
      <c r="A14" s="442"/>
      <c r="B14" s="443"/>
      <c r="C14" s="444"/>
      <c r="D14" s="105" t="s">
        <v>90</v>
      </c>
      <c r="E14" s="28">
        <f t="shared" si="2"/>
        <v>0</v>
      </c>
      <c r="F14" s="28">
        <v>0</v>
      </c>
      <c r="G14" s="28">
        <v>0</v>
      </c>
      <c r="H14" s="28">
        <v>0</v>
      </c>
      <c r="I14" s="130">
        <v>0</v>
      </c>
      <c r="J14" s="28">
        <v>0</v>
      </c>
      <c r="K14" s="28">
        <v>0</v>
      </c>
      <c r="L14" s="28">
        <v>0</v>
      </c>
      <c r="P14" s="28">
        <v>0</v>
      </c>
    </row>
    <row r="15" spans="1:23" hidden="1" x14ac:dyDescent="0.25">
      <c r="A15" s="442"/>
      <c r="B15" s="443"/>
      <c r="C15" s="444"/>
      <c r="D15" s="106" t="s">
        <v>18</v>
      </c>
      <c r="E15" s="28">
        <f t="shared" si="2"/>
        <v>0</v>
      </c>
      <c r="F15" s="28">
        <v>0</v>
      </c>
      <c r="G15" s="28">
        <v>0</v>
      </c>
      <c r="H15" s="28">
        <v>0</v>
      </c>
      <c r="I15" s="130">
        <v>0</v>
      </c>
      <c r="J15" s="28">
        <v>0</v>
      </c>
      <c r="K15" s="28">
        <v>0</v>
      </c>
      <c r="L15" s="28">
        <v>0</v>
      </c>
      <c r="P15" s="28">
        <v>0</v>
      </c>
    </row>
    <row r="16" spans="1:23" hidden="1" x14ac:dyDescent="0.25">
      <c r="A16" s="442"/>
      <c r="B16" s="443"/>
      <c r="C16" s="444"/>
      <c r="D16" s="106" t="s">
        <v>12</v>
      </c>
      <c r="E16" s="28">
        <f t="shared" si="2"/>
        <v>0</v>
      </c>
      <c r="F16" s="28">
        <f t="shared" ref="F16:H16" si="3">SUM(F17:F22)</f>
        <v>0</v>
      </c>
      <c r="G16" s="28">
        <f t="shared" si="3"/>
        <v>0</v>
      </c>
      <c r="H16" s="28">
        <f t="shared" si="3"/>
        <v>0</v>
      </c>
      <c r="I16" s="130">
        <f>SUM(I17:I22)</f>
        <v>0</v>
      </c>
      <c r="J16" s="28">
        <f t="shared" ref="J16:L16" si="4">SUM(J17:J22)</f>
        <v>0</v>
      </c>
      <c r="K16" s="27">
        <f t="shared" si="4"/>
        <v>0</v>
      </c>
      <c r="L16" s="27">
        <f t="shared" si="4"/>
        <v>0</v>
      </c>
      <c r="P16" s="28">
        <f>SUM(P17:P22)</f>
        <v>0</v>
      </c>
    </row>
    <row r="17" spans="1:16" s="21" customFormat="1" hidden="1" x14ac:dyDescent="0.25">
      <c r="A17" s="442"/>
      <c r="B17" s="443"/>
      <c r="C17" s="444"/>
      <c r="D17" s="106" t="s">
        <v>13</v>
      </c>
      <c r="E17" s="28">
        <f t="shared" si="2"/>
        <v>0</v>
      </c>
      <c r="F17" s="28">
        <v>0</v>
      </c>
      <c r="G17" s="28">
        <v>0</v>
      </c>
      <c r="H17" s="28">
        <v>0</v>
      </c>
      <c r="I17" s="130">
        <v>0</v>
      </c>
      <c r="J17" s="33">
        <v>0</v>
      </c>
      <c r="K17" s="28">
        <v>0</v>
      </c>
      <c r="L17" s="28">
        <v>0</v>
      </c>
      <c r="P17" s="28">
        <v>0</v>
      </c>
    </row>
    <row r="18" spans="1:16" s="21" customFormat="1" hidden="1" x14ac:dyDescent="0.25">
      <c r="A18" s="442"/>
      <c r="B18" s="443"/>
      <c r="C18" s="444"/>
      <c r="D18" s="106" t="s">
        <v>14</v>
      </c>
      <c r="E18" s="28">
        <f t="shared" si="2"/>
        <v>0</v>
      </c>
      <c r="F18" s="28">
        <v>0</v>
      </c>
      <c r="G18" s="28">
        <v>0</v>
      </c>
      <c r="H18" s="28">
        <v>0</v>
      </c>
      <c r="I18" s="130">
        <v>0</v>
      </c>
      <c r="J18" s="28">
        <v>0</v>
      </c>
      <c r="K18" s="28">
        <v>0</v>
      </c>
      <c r="L18" s="28">
        <v>0</v>
      </c>
      <c r="P18" s="28">
        <v>0</v>
      </c>
    </row>
    <row r="19" spans="1:16" s="21" customFormat="1" hidden="1" x14ac:dyDescent="0.25">
      <c r="A19" s="442"/>
      <c r="B19" s="443"/>
      <c r="C19" s="444"/>
      <c r="D19" s="106" t="s">
        <v>15</v>
      </c>
      <c r="E19" s="28">
        <f t="shared" si="2"/>
        <v>0</v>
      </c>
      <c r="F19" s="28">
        <v>0</v>
      </c>
      <c r="G19" s="28">
        <v>0</v>
      </c>
      <c r="H19" s="28">
        <v>0</v>
      </c>
      <c r="I19" s="130">
        <v>0</v>
      </c>
      <c r="J19" s="28">
        <v>0</v>
      </c>
      <c r="K19" s="28">
        <v>0</v>
      </c>
      <c r="L19" s="28">
        <v>0</v>
      </c>
      <c r="P19" s="28">
        <v>0</v>
      </c>
    </row>
    <row r="20" spans="1:16" s="21" customFormat="1" ht="30" hidden="1" x14ac:dyDescent="0.25">
      <c r="A20" s="442"/>
      <c r="B20" s="443"/>
      <c r="C20" s="444"/>
      <c r="D20" s="105" t="s">
        <v>89</v>
      </c>
      <c r="E20" s="28">
        <f t="shared" si="2"/>
        <v>0</v>
      </c>
      <c r="F20" s="28">
        <v>0</v>
      </c>
      <c r="G20" s="28">
        <v>0</v>
      </c>
      <c r="H20" s="28">
        <v>0</v>
      </c>
      <c r="I20" s="130">
        <v>0</v>
      </c>
      <c r="J20" s="28">
        <v>0</v>
      </c>
      <c r="K20" s="28">
        <v>0</v>
      </c>
      <c r="L20" s="28">
        <v>0</v>
      </c>
      <c r="P20" s="28">
        <v>0</v>
      </c>
    </row>
    <row r="21" spans="1:16" s="21" customFormat="1" hidden="1" x14ac:dyDescent="0.25">
      <c r="A21" s="442"/>
      <c r="B21" s="443"/>
      <c r="C21" s="444"/>
      <c r="D21" s="105" t="s">
        <v>90</v>
      </c>
      <c r="E21" s="27">
        <f t="shared" si="2"/>
        <v>0</v>
      </c>
      <c r="F21" s="28">
        <v>0</v>
      </c>
      <c r="G21" s="28">
        <v>0</v>
      </c>
      <c r="H21" s="28">
        <v>0</v>
      </c>
      <c r="I21" s="130">
        <v>0</v>
      </c>
      <c r="J21" s="28">
        <v>0</v>
      </c>
      <c r="K21" s="28">
        <v>0</v>
      </c>
      <c r="L21" s="28">
        <v>0</v>
      </c>
      <c r="P21" s="28">
        <v>0</v>
      </c>
    </row>
    <row r="22" spans="1:16" s="21" customFormat="1" hidden="1" x14ac:dyDescent="0.25">
      <c r="A22" s="442"/>
      <c r="B22" s="443"/>
      <c r="C22" s="444"/>
      <c r="D22" s="106" t="s">
        <v>18</v>
      </c>
      <c r="E22" s="27">
        <f t="shared" si="2"/>
        <v>0</v>
      </c>
      <c r="F22" s="28">
        <v>0</v>
      </c>
      <c r="G22" s="28">
        <v>0</v>
      </c>
      <c r="H22" s="28">
        <v>0</v>
      </c>
      <c r="I22" s="130">
        <v>0</v>
      </c>
      <c r="J22" s="28">
        <v>0</v>
      </c>
      <c r="K22" s="28">
        <v>0</v>
      </c>
      <c r="L22" s="28">
        <v>0</v>
      </c>
      <c r="P22" s="28">
        <v>0</v>
      </c>
    </row>
    <row r="23" spans="1:16" s="21" customFormat="1" hidden="1" x14ac:dyDescent="0.25">
      <c r="A23" s="442"/>
      <c r="B23" s="443"/>
      <c r="C23" s="444"/>
      <c r="D23" s="106" t="s">
        <v>12</v>
      </c>
      <c r="E23" s="27">
        <f t="shared" si="2"/>
        <v>0</v>
      </c>
      <c r="F23" s="27">
        <f t="shared" ref="F23:H23" si="5">SUM(F24:F29)</f>
        <v>0</v>
      </c>
      <c r="G23" s="27">
        <f t="shared" si="5"/>
        <v>0</v>
      </c>
      <c r="H23" s="27">
        <f t="shared" si="5"/>
        <v>0</v>
      </c>
      <c r="I23" s="132">
        <f>SUM(I24:I29)</f>
        <v>0</v>
      </c>
      <c r="J23" s="27">
        <f t="shared" ref="J23:L23" si="6">SUM(J24:J29)</f>
        <v>0</v>
      </c>
      <c r="K23" s="27">
        <f t="shared" si="6"/>
        <v>0</v>
      </c>
      <c r="L23" s="27">
        <f t="shared" si="6"/>
        <v>0</v>
      </c>
      <c r="P23" s="27">
        <f>SUM(P24:P29)</f>
        <v>0</v>
      </c>
    </row>
    <row r="24" spans="1:16" s="21" customFormat="1" hidden="1" x14ac:dyDescent="0.25">
      <c r="A24" s="442"/>
      <c r="B24" s="443"/>
      <c r="C24" s="444"/>
      <c r="D24" s="106" t="s">
        <v>13</v>
      </c>
      <c r="E24" s="27">
        <f t="shared" si="2"/>
        <v>0</v>
      </c>
      <c r="F24" s="28">
        <v>0</v>
      </c>
      <c r="G24" s="28">
        <v>0</v>
      </c>
      <c r="H24" s="28">
        <v>0</v>
      </c>
      <c r="I24" s="130">
        <v>0</v>
      </c>
      <c r="J24" s="28">
        <v>0</v>
      </c>
      <c r="K24" s="28">
        <v>0</v>
      </c>
      <c r="L24" s="28">
        <v>0</v>
      </c>
      <c r="P24" s="28">
        <v>0</v>
      </c>
    </row>
    <row r="25" spans="1:16" s="21" customFormat="1" hidden="1" x14ac:dyDescent="0.25">
      <c r="A25" s="442"/>
      <c r="B25" s="443"/>
      <c r="C25" s="444"/>
      <c r="D25" s="106" t="s">
        <v>14</v>
      </c>
      <c r="E25" s="27">
        <f t="shared" si="2"/>
        <v>0</v>
      </c>
      <c r="F25" s="28">
        <v>0</v>
      </c>
      <c r="G25" s="28">
        <v>0</v>
      </c>
      <c r="H25" s="28">
        <v>0</v>
      </c>
      <c r="I25" s="130">
        <v>0</v>
      </c>
      <c r="J25" s="28">
        <v>0</v>
      </c>
      <c r="K25" s="28">
        <v>0</v>
      </c>
      <c r="L25" s="28">
        <v>0</v>
      </c>
      <c r="P25" s="28">
        <v>0</v>
      </c>
    </row>
    <row r="26" spans="1:16" s="21" customFormat="1" hidden="1" x14ac:dyDescent="0.25">
      <c r="A26" s="442"/>
      <c r="B26" s="443"/>
      <c r="C26" s="444"/>
      <c r="D26" s="106" t="s">
        <v>15</v>
      </c>
      <c r="E26" s="27">
        <f t="shared" si="2"/>
        <v>0</v>
      </c>
      <c r="F26" s="28">
        <v>0</v>
      </c>
      <c r="G26" s="28">
        <v>0</v>
      </c>
      <c r="H26" s="28">
        <v>0</v>
      </c>
      <c r="I26" s="130">
        <v>0</v>
      </c>
      <c r="J26" s="28">
        <v>0</v>
      </c>
      <c r="K26" s="28">
        <v>0</v>
      </c>
      <c r="L26" s="28">
        <v>0</v>
      </c>
      <c r="P26" s="28">
        <v>0</v>
      </c>
    </row>
    <row r="27" spans="1:16" s="21" customFormat="1" ht="30" hidden="1" x14ac:dyDescent="0.25">
      <c r="A27" s="442"/>
      <c r="B27" s="443"/>
      <c r="C27" s="444"/>
      <c r="D27" s="105" t="s">
        <v>89</v>
      </c>
      <c r="E27" s="27">
        <f t="shared" si="2"/>
        <v>0</v>
      </c>
      <c r="F27" s="28">
        <v>0</v>
      </c>
      <c r="G27" s="28">
        <v>0</v>
      </c>
      <c r="H27" s="28">
        <v>0</v>
      </c>
      <c r="I27" s="130">
        <v>0</v>
      </c>
      <c r="J27" s="28">
        <v>0</v>
      </c>
      <c r="K27" s="28">
        <v>0</v>
      </c>
      <c r="L27" s="28">
        <v>0</v>
      </c>
      <c r="P27" s="28">
        <v>0</v>
      </c>
    </row>
    <row r="28" spans="1:16" s="21" customFormat="1" hidden="1" x14ac:dyDescent="0.25">
      <c r="A28" s="442"/>
      <c r="B28" s="443"/>
      <c r="C28" s="444"/>
      <c r="D28" s="105" t="s">
        <v>90</v>
      </c>
      <c r="E28" s="27">
        <f t="shared" si="2"/>
        <v>0</v>
      </c>
      <c r="F28" s="28">
        <v>0</v>
      </c>
      <c r="G28" s="28">
        <v>0</v>
      </c>
      <c r="H28" s="28">
        <v>0</v>
      </c>
      <c r="I28" s="130">
        <v>0</v>
      </c>
      <c r="J28" s="28">
        <v>0</v>
      </c>
      <c r="K28" s="28">
        <v>0</v>
      </c>
      <c r="L28" s="28">
        <v>0</v>
      </c>
      <c r="P28" s="28">
        <v>0</v>
      </c>
    </row>
    <row r="29" spans="1:16" s="21" customFormat="1" hidden="1" x14ac:dyDescent="0.25">
      <c r="A29" s="442"/>
      <c r="B29" s="443"/>
      <c r="C29" s="444"/>
      <c r="D29" s="106" t="s">
        <v>18</v>
      </c>
      <c r="E29" s="27">
        <f t="shared" si="2"/>
        <v>0</v>
      </c>
      <c r="F29" s="28">
        <v>0</v>
      </c>
      <c r="G29" s="28">
        <v>0</v>
      </c>
      <c r="H29" s="28">
        <v>0</v>
      </c>
      <c r="I29" s="130">
        <v>0</v>
      </c>
      <c r="J29" s="28">
        <v>0</v>
      </c>
      <c r="K29" s="28">
        <v>0</v>
      </c>
      <c r="L29" s="28">
        <v>0</v>
      </c>
      <c r="P29" s="28">
        <v>0</v>
      </c>
    </row>
    <row r="30" spans="1:16" s="21" customFormat="1" x14ac:dyDescent="0.25">
      <c r="A30" s="442"/>
      <c r="B30" s="443" t="s">
        <v>181</v>
      </c>
      <c r="C30" s="444" t="s">
        <v>130</v>
      </c>
      <c r="D30" s="106" t="s">
        <v>12</v>
      </c>
      <c r="E30" s="27">
        <f t="shared" si="2"/>
        <v>0</v>
      </c>
      <c r="F30" s="27">
        <f t="shared" ref="F30:H30" si="7">SUM(F31:F36)</f>
        <v>0</v>
      </c>
      <c r="G30" s="27">
        <f t="shared" si="7"/>
        <v>0</v>
      </c>
      <c r="H30" s="27">
        <f t="shared" si="7"/>
        <v>0</v>
      </c>
      <c r="I30" s="132">
        <f>SUM(I31:I36)</f>
        <v>0</v>
      </c>
      <c r="J30" s="27">
        <f t="shared" ref="J30:L30" si="8">SUM(J31:J36)</f>
        <v>0</v>
      </c>
      <c r="K30" s="27">
        <f t="shared" si="8"/>
        <v>0</v>
      </c>
      <c r="L30" s="27">
        <f t="shared" si="8"/>
        <v>0</v>
      </c>
      <c r="N30" s="46">
        <f>I30-P30</f>
        <v>0</v>
      </c>
      <c r="P30" s="27">
        <f>SUM(P31:P36)</f>
        <v>0</v>
      </c>
    </row>
    <row r="31" spans="1:16" s="21" customFormat="1" x14ac:dyDescent="0.25">
      <c r="A31" s="442"/>
      <c r="B31" s="443"/>
      <c r="C31" s="444"/>
      <c r="D31" s="106" t="s">
        <v>13</v>
      </c>
      <c r="E31" s="27">
        <f t="shared" si="2"/>
        <v>0</v>
      </c>
      <c r="F31" s="28">
        <v>0</v>
      </c>
      <c r="G31" s="28">
        <v>0</v>
      </c>
      <c r="H31" s="28">
        <v>0</v>
      </c>
      <c r="I31" s="130">
        <v>0</v>
      </c>
      <c r="J31" s="28">
        <v>0</v>
      </c>
      <c r="K31" s="28">
        <v>0</v>
      </c>
      <c r="L31" s="28">
        <v>0</v>
      </c>
      <c r="N31" s="46">
        <f t="shared" ref="N31:N94" si="9">I31-P31</f>
        <v>0</v>
      </c>
      <c r="P31" s="28">
        <v>0</v>
      </c>
    </row>
    <row r="32" spans="1:16" s="21" customFormat="1" x14ac:dyDescent="0.25">
      <c r="A32" s="442"/>
      <c r="B32" s="443"/>
      <c r="C32" s="444"/>
      <c r="D32" s="106" t="s">
        <v>14</v>
      </c>
      <c r="E32" s="27">
        <f t="shared" si="2"/>
        <v>0</v>
      </c>
      <c r="F32" s="28">
        <v>0</v>
      </c>
      <c r="G32" s="28">
        <v>0</v>
      </c>
      <c r="H32" s="28">
        <v>0</v>
      </c>
      <c r="I32" s="130">
        <v>0</v>
      </c>
      <c r="J32" s="28">
        <v>0</v>
      </c>
      <c r="K32" s="28">
        <v>0</v>
      </c>
      <c r="L32" s="28">
        <v>0</v>
      </c>
      <c r="N32" s="46">
        <f t="shared" si="9"/>
        <v>0</v>
      </c>
      <c r="P32" s="28">
        <v>0</v>
      </c>
    </row>
    <row r="33" spans="1:18" x14ac:dyDescent="0.25">
      <c r="A33" s="442"/>
      <c r="B33" s="443"/>
      <c r="C33" s="444"/>
      <c r="D33" s="106" t="s">
        <v>15</v>
      </c>
      <c r="E33" s="27">
        <f t="shared" si="2"/>
        <v>0</v>
      </c>
      <c r="F33" s="28">
        <v>0</v>
      </c>
      <c r="G33" s="28">
        <v>0</v>
      </c>
      <c r="H33" s="28">
        <v>0</v>
      </c>
      <c r="I33" s="130">
        <v>0</v>
      </c>
      <c r="J33" s="28">
        <v>0</v>
      </c>
      <c r="K33" s="28">
        <v>0</v>
      </c>
      <c r="L33" s="28">
        <v>0</v>
      </c>
      <c r="N33" s="46">
        <f t="shared" si="9"/>
        <v>0</v>
      </c>
      <c r="P33" s="28">
        <v>0</v>
      </c>
    </row>
    <row r="34" spans="1:18" ht="30" x14ac:dyDescent="0.25">
      <c r="A34" s="442"/>
      <c r="B34" s="443"/>
      <c r="C34" s="444"/>
      <c r="D34" s="105" t="s">
        <v>91</v>
      </c>
      <c r="E34" s="27">
        <f t="shared" si="2"/>
        <v>0</v>
      </c>
      <c r="F34" s="28">
        <v>0</v>
      </c>
      <c r="G34" s="28">
        <v>0</v>
      </c>
      <c r="H34" s="28">
        <v>0</v>
      </c>
      <c r="I34" s="130">
        <v>0</v>
      </c>
      <c r="J34" s="28">
        <v>0</v>
      </c>
      <c r="K34" s="28">
        <v>0</v>
      </c>
      <c r="L34" s="28">
        <v>0</v>
      </c>
      <c r="N34" s="46">
        <f t="shared" si="9"/>
        <v>0</v>
      </c>
      <c r="P34" s="28">
        <v>0</v>
      </c>
    </row>
    <row r="35" spans="1:18" x14ac:dyDescent="0.25">
      <c r="A35" s="442"/>
      <c r="B35" s="443"/>
      <c r="C35" s="444"/>
      <c r="D35" s="105" t="s">
        <v>90</v>
      </c>
      <c r="E35" s="27">
        <f t="shared" si="2"/>
        <v>0</v>
      </c>
      <c r="F35" s="28">
        <v>0</v>
      </c>
      <c r="G35" s="28">
        <v>0</v>
      </c>
      <c r="H35" s="28">
        <v>0</v>
      </c>
      <c r="I35" s="130">
        <v>0</v>
      </c>
      <c r="J35" s="28">
        <v>0</v>
      </c>
      <c r="K35" s="28">
        <v>0</v>
      </c>
      <c r="L35" s="28">
        <v>0</v>
      </c>
      <c r="N35" s="46">
        <f t="shared" si="9"/>
        <v>0</v>
      </c>
      <c r="P35" s="28">
        <v>0</v>
      </c>
    </row>
    <row r="36" spans="1:18" s="127" customFormat="1" x14ac:dyDescent="0.25">
      <c r="A36" s="442"/>
      <c r="B36" s="443"/>
      <c r="C36" s="444"/>
      <c r="D36" s="109" t="s">
        <v>18</v>
      </c>
      <c r="E36" s="112">
        <f t="shared" si="2"/>
        <v>0</v>
      </c>
      <c r="F36" s="110">
        <v>0</v>
      </c>
      <c r="G36" s="110">
        <v>0</v>
      </c>
      <c r="H36" s="110">
        <v>0</v>
      </c>
      <c r="I36" s="133">
        <v>0</v>
      </c>
      <c r="J36" s="110">
        <v>0</v>
      </c>
      <c r="K36" s="110">
        <v>0</v>
      </c>
      <c r="L36" s="110">
        <v>0</v>
      </c>
      <c r="N36" s="134">
        <f t="shared" si="9"/>
        <v>0</v>
      </c>
      <c r="P36" s="110">
        <v>0</v>
      </c>
      <c r="R36" s="135"/>
    </row>
    <row r="37" spans="1:18" s="29" customFormat="1" x14ac:dyDescent="0.25">
      <c r="A37" s="448" t="s">
        <v>83</v>
      </c>
      <c r="B37" s="451" t="s">
        <v>182</v>
      </c>
      <c r="C37" s="512" t="s">
        <v>170</v>
      </c>
      <c r="D37" s="114" t="s">
        <v>12</v>
      </c>
      <c r="E37" s="115">
        <f t="shared" si="2"/>
        <v>1510226.3391199999</v>
      </c>
      <c r="F37" s="136">
        <f t="shared" ref="F37:H37" si="10">SUM(F38:F43)</f>
        <v>279492.61495000002</v>
      </c>
      <c r="G37" s="115">
        <f t="shared" si="10"/>
        <v>273706.81309000001</v>
      </c>
      <c r="H37" s="115">
        <f t="shared" si="10"/>
        <v>267212.29514</v>
      </c>
      <c r="I37" s="137">
        <f>SUM(I38:I43)</f>
        <v>474767.93293999997</v>
      </c>
      <c r="J37" s="115">
        <f t="shared" ref="J37:L37" si="11">SUM(J38:J43)</f>
        <v>171409.68299999999</v>
      </c>
      <c r="K37" s="115">
        <f t="shared" si="11"/>
        <v>3137</v>
      </c>
      <c r="L37" s="115">
        <f t="shared" si="11"/>
        <v>40500</v>
      </c>
      <c r="N37" s="46">
        <f t="shared" si="9"/>
        <v>-33325.866670000018</v>
      </c>
      <c r="P37" s="28">
        <f>SUM(P38:P43)</f>
        <v>508093.79960999999</v>
      </c>
      <c r="R37" s="90"/>
    </row>
    <row r="38" spans="1:18" x14ac:dyDescent="0.25">
      <c r="A38" s="449"/>
      <c r="B38" s="452"/>
      <c r="C38" s="513"/>
      <c r="D38" s="114" t="s">
        <v>13</v>
      </c>
      <c r="E38" s="115">
        <f t="shared" si="2"/>
        <v>0</v>
      </c>
      <c r="F38" s="136">
        <f>F45+F52</f>
        <v>0</v>
      </c>
      <c r="G38" s="115">
        <f t="shared" ref="G38:L38" si="12">G45+G52</f>
        <v>0</v>
      </c>
      <c r="H38" s="115">
        <f t="shared" si="12"/>
        <v>0</v>
      </c>
      <c r="I38" s="137">
        <f t="shared" si="12"/>
        <v>0</v>
      </c>
      <c r="J38" s="115">
        <f t="shared" si="12"/>
        <v>0</v>
      </c>
      <c r="K38" s="115">
        <f t="shared" si="12"/>
        <v>0</v>
      </c>
      <c r="L38" s="115">
        <f t="shared" si="12"/>
        <v>0</v>
      </c>
      <c r="N38" s="46">
        <f t="shared" si="9"/>
        <v>0</v>
      </c>
      <c r="P38" s="28">
        <f t="shared" ref="P38:P43" si="13">P45+P52</f>
        <v>0</v>
      </c>
    </row>
    <row r="39" spans="1:18" x14ac:dyDescent="0.25">
      <c r="A39" s="449"/>
      <c r="B39" s="452"/>
      <c r="C39" s="513"/>
      <c r="D39" s="114" t="s">
        <v>14</v>
      </c>
      <c r="E39" s="115">
        <f t="shared" si="2"/>
        <v>11494.5</v>
      </c>
      <c r="F39" s="136">
        <f t="shared" ref="F39:L43" si="14">F46+F53</f>
        <v>5644.5</v>
      </c>
      <c r="G39" s="115">
        <f t="shared" si="14"/>
        <v>4200</v>
      </c>
      <c r="H39" s="115">
        <f t="shared" si="14"/>
        <v>200</v>
      </c>
      <c r="I39" s="137">
        <f t="shared" si="14"/>
        <v>1450</v>
      </c>
      <c r="J39" s="115">
        <f t="shared" si="14"/>
        <v>0</v>
      </c>
      <c r="K39" s="115">
        <f t="shared" si="14"/>
        <v>0</v>
      </c>
      <c r="L39" s="115">
        <f t="shared" si="14"/>
        <v>0</v>
      </c>
      <c r="N39" s="46">
        <f t="shared" si="9"/>
        <v>1450</v>
      </c>
      <c r="P39" s="28">
        <f t="shared" si="13"/>
        <v>0</v>
      </c>
    </row>
    <row r="40" spans="1:18" x14ac:dyDescent="0.25">
      <c r="A40" s="449"/>
      <c r="B40" s="452"/>
      <c r="C40" s="513"/>
      <c r="D40" s="114" t="s">
        <v>15</v>
      </c>
      <c r="E40" s="115">
        <f t="shared" si="2"/>
        <v>1076336.7861199998</v>
      </c>
      <c r="F40" s="136">
        <f t="shared" si="14"/>
        <v>273848.11495000002</v>
      </c>
      <c r="G40" s="115">
        <f t="shared" si="14"/>
        <v>269506.81309000001</v>
      </c>
      <c r="H40" s="115">
        <f t="shared" si="14"/>
        <v>267012.29514</v>
      </c>
      <c r="I40" s="137">
        <f t="shared" si="14"/>
        <v>265769.56293999997</v>
      </c>
      <c r="J40" s="115">
        <f t="shared" si="14"/>
        <v>200</v>
      </c>
      <c r="K40" s="115">
        <f t="shared" si="14"/>
        <v>0</v>
      </c>
      <c r="L40" s="115">
        <f t="shared" si="14"/>
        <v>0</v>
      </c>
      <c r="N40" s="46">
        <f>I40-P40</f>
        <v>243358.79928999997</v>
      </c>
      <c r="P40" s="28">
        <f t="shared" si="13"/>
        <v>22410.763649999997</v>
      </c>
    </row>
    <row r="41" spans="1:18" ht="30" x14ac:dyDescent="0.25">
      <c r="A41" s="449"/>
      <c r="B41" s="452"/>
      <c r="C41" s="513"/>
      <c r="D41" s="124" t="s">
        <v>91</v>
      </c>
      <c r="E41" s="115">
        <f t="shared" si="2"/>
        <v>0</v>
      </c>
      <c r="F41" s="136">
        <f t="shared" si="14"/>
        <v>0</v>
      </c>
      <c r="G41" s="115">
        <f>G48+G55</f>
        <v>0</v>
      </c>
      <c r="H41" s="115">
        <f t="shared" si="14"/>
        <v>0</v>
      </c>
      <c r="I41" s="137">
        <f t="shared" si="14"/>
        <v>0</v>
      </c>
      <c r="J41" s="115">
        <f t="shared" si="14"/>
        <v>0</v>
      </c>
      <c r="K41" s="115">
        <f t="shared" si="14"/>
        <v>0</v>
      </c>
      <c r="L41" s="115">
        <f t="shared" si="14"/>
        <v>0</v>
      </c>
      <c r="N41" s="46">
        <f t="shared" si="9"/>
        <v>0</v>
      </c>
      <c r="P41" s="28">
        <f t="shared" si="13"/>
        <v>0</v>
      </c>
    </row>
    <row r="42" spans="1:18" x14ac:dyDescent="0.25">
      <c r="A42" s="449"/>
      <c r="B42" s="452"/>
      <c r="C42" s="513"/>
      <c r="D42" s="124" t="s">
        <v>90</v>
      </c>
      <c r="E42" s="115">
        <f t="shared" si="2"/>
        <v>0</v>
      </c>
      <c r="F42" s="136">
        <f t="shared" si="14"/>
        <v>0</v>
      </c>
      <c r="G42" s="115">
        <f t="shared" si="14"/>
        <v>0</v>
      </c>
      <c r="H42" s="115">
        <f t="shared" si="14"/>
        <v>0</v>
      </c>
      <c r="I42" s="137">
        <f t="shared" si="14"/>
        <v>0</v>
      </c>
      <c r="J42" s="115">
        <f t="shared" si="14"/>
        <v>0</v>
      </c>
      <c r="K42" s="115">
        <f t="shared" si="14"/>
        <v>0</v>
      </c>
      <c r="L42" s="115">
        <f t="shared" si="14"/>
        <v>0</v>
      </c>
      <c r="N42" s="46">
        <f t="shared" si="9"/>
        <v>0</v>
      </c>
      <c r="P42" s="28">
        <f t="shared" si="13"/>
        <v>0</v>
      </c>
    </row>
    <row r="43" spans="1:18" s="127" customFormat="1" x14ac:dyDescent="0.25">
      <c r="A43" s="449"/>
      <c r="B43" s="452"/>
      <c r="C43" s="514"/>
      <c r="D43" s="114" t="s">
        <v>18</v>
      </c>
      <c r="E43" s="115">
        <f t="shared" si="2"/>
        <v>422395.05299999996</v>
      </c>
      <c r="F43" s="136">
        <f t="shared" si="14"/>
        <v>0</v>
      </c>
      <c r="G43" s="115">
        <f t="shared" si="14"/>
        <v>0</v>
      </c>
      <c r="H43" s="115">
        <f t="shared" si="14"/>
        <v>0</v>
      </c>
      <c r="I43" s="137">
        <f t="shared" si="14"/>
        <v>207548.37</v>
      </c>
      <c r="J43" s="115">
        <f t="shared" si="14"/>
        <v>171209.68299999999</v>
      </c>
      <c r="K43" s="115">
        <f t="shared" si="14"/>
        <v>3137</v>
      </c>
      <c r="L43" s="115">
        <f t="shared" si="14"/>
        <v>40500</v>
      </c>
      <c r="N43" s="134">
        <f t="shared" si="9"/>
        <v>-278134.66596000001</v>
      </c>
      <c r="P43" s="110">
        <f t="shared" si="13"/>
        <v>485683.03596000001</v>
      </c>
      <c r="R43" s="135"/>
    </row>
    <row r="44" spans="1:18" s="29" customFormat="1" x14ac:dyDescent="0.25">
      <c r="A44" s="449"/>
      <c r="B44" s="452"/>
      <c r="C44" s="457" t="s">
        <v>8</v>
      </c>
      <c r="D44" s="106" t="s">
        <v>12</v>
      </c>
      <c r="E44" s="28">
        <f>SUM(F44:L44)</f>
        <v>100920.54131999999</v>
      </c>
      <c r="F44" s="71">
        <f>SUM(F45:F50)</f>
        <v>14147.688</v>
      </c>
      <c r="G44" s="28">
        <f t="shared" ref="G44:H44" si="15">SUM(G45:G50)</f>
        <v>9544.8861399999987</v>
      </c>
      <c r="H44" s="28">
        <f t="shared" si="15"/>
        <v>3050.3681900000001</v>
      </c>
      <c r="I44" s="130">
        <f>SUM(I45:I50)</f>
        <v>12656.005990000001</v>
      </c>
      <c r="J44" s="28">
        <f t="shared" ref="J44:L44" si="16">SUM(J45:J50)</f>
        <v>17884.593000000001</v>
      </c>
      <c r="K44" s="28">
        <f t="shared" si="16"/>
        <v>3137</v>
      </c>
      <c r="L44" s="28">
        <f t="shared" si="16"/>
        <v>40500</v>
      </c>
      <c r="N44" s="46">
        <f t="shared" si="9"/>
        <v>-12522.739009999998</v>
      </c>
      <c r="P44" s="28">
        <f>SUM(P45:P50)</f>
        <v>25178.744999999999</v>
      </c>
      <c r="R44" s="90"/>
    </row>
    <row r="45" spans="1:18" x14ac:dyDescent="0.25">
      <c r="A45" s="449"/>
      <c r="B45" s="452"/>
      <c r="C45" s="457"/>
      <c r="D45" s="106" t="s">
        <v>13</v>
      </c>
      <c r="E45" s="28">
        <f t="shared" si="2"/>
        <v>0</v>
      </c>
      <c r="F45" s="71">
        <v>0</v>
      </c>
      <c r="G45" s="28">
        <v>0</v>
      </c>
      <c r="H45" s="28">
        <v>0</v>
      </c>
      <c r="I45" s="130">
        <v>0</v>
      </c>
      <c r="J45" s="28">
        <v>0</v>
      </c>
      <c r="K45" s="28">
        <v>0</v>
      </c>
      <c r="L45" s="28">
        <v>0</v>
      </c>
      <c r="N45" s="46">
        <f t="shared" si="9"/>
        <v>0</v>
      </c>
      <c r="P45" s="28">
        <v>0</v>
      </c>
    </row>
    <row r="46" spans="1:18" x14ac:dyDescent="0.25">
      <c r="A46" s="449"/>
      <c r="B46" s="452"/>
      <c r="C46" s="457"/>
      <c r="D46" s="106" t="s">
        <v>14</v>
      </c>
      <c r="E46" s="28">
        <f t="shared" si="2"/>
        <v>11494.5</v>
      </c>
      <c r="F46" s="71">
        <f>4070+750+824.5</f>
        <v>5644.5</v>
      </c>
      <c r="G46" s="28">
        <f>4100+100</f>
        <v>4200</v>
      </c>
      <c r="H46" s="28">
        <f>200</f>
        <v>200</v>
      </c>
      <c r="I46" s="138">
        <v>1450</v>
      </c>
      <c r="J46" s="28">
        <v>0</v>
      </c>
      <c r="K46" s="28">
        <v>0</v>
      </c>
      <c r="L46" s="28">
        <v>0</v>
      </c>
      <c r="N46" s="46">
        <f t="shared" si="9"/>
        <v>1450</v>
      </c>
      <c r="O46" s="21" t="s">
        <v>233</v>
      </c>
      <c r="P46" s="28">
        <v>0</v>
      </c>
      <c r="Q46" s="21" t="s">
        <v>232</v>
      </c>
    </row>
    <row r="47" spans="1:18" x14ac:dyDescent="0.25">
      <c r="A47" s="449"/>
      <c r="B47" s="452"/>
      <c r="C47" s="457"/>
      <c r="D47" s="106" t="s">
        <v>15</v>
      </c>
      <c r="E47" s="28">
        <f t="shared" si="2"/>
        <v>18506.078320000001</v>
      </c>
      <c r="F47" s="71">
        <v>8503.1880000000001</v>
      </c>
      <c r="G47" s="28">
        <v>5344.8861399999996</v>
      </c>
      <c r="H47" s="28">
        <f>1150.36819+1700</f>
        <v>2850.3681900000001</v>
      </c>
      <c r="I47" s="130">
        <f>1770.26099-162.625</f>
        <v>1607.63599</v>
      </c>
      <c r="J47" s="28">
        <v>200</v>
      </c>
      <c r="K47" s="28">
        <v>0</v>
      </c>
      <c r="L47" s="28">
        <v>0</v>
      </c>
      <c r="N47" s="46">
        <f t="shared" si="9"/>
        <v>0</v>
      </c>
      <c r="O47" s="21" t="s">
        <v>234</v>
      </c>
      <c r="P47" s="28">
        <f>1770.26099-162.625</f>
        <v>1607.63599</v>
      </c>
    </row>
    <row r="48" spans="1:18" ht="30" x14ac:dyDescent="0.25">
      <c r="A48" s="449"/>
      <c r="B48" s="452"/>
      <c r="C48" s="457"/>
      <c r="D48" s="105" t="s">
        <v>91</v>
      </c>
      <c r="E48" s="28">
        <f t="shared" si="2"/>
        <v>0</v>
      </c>
      <c r="F48" s="71">
        <v>0</v>
      </c>
      <c r="G48" s="28">
        <v>0</v>
      </c>
      <c r="H48" s="28">
        <v>0</v>
      </c>
      <c r="I48" s="130">
        <v>0</v>
      </c>
      <c r="J48" s="28">
        <v>0</v>
      </c>
      <c r="K48" s="28">
        <v>0</v>
      </c>
      <c r="L48" s="28">
        <v>0</v>
      </c>
      <c r="N48" s="46">
        <f t="shared" si="9"/>
        <v>0</v>
      </c>
      <c r="P48" s="28">
        <v>0</v>
      </c>
    </row>
    <row r="49" spans="1:18" x14ac:dyDescent="0.25">
      <c r="A49" s="449"/>
      <c r="B49" s="452"/>
      <c r="C49" s="457"/>
      <c r="D49" s="105" t="s">
        <v>90</v>
      </c>
      <c r="E49" s="28">
        <f t="shared" si="2"/>
        <v>0</v>
      </c>
      <c r="F49" s="71">
        <v>0</v>
      </c>
      <c r="G49" s="28">
        <v>0</v>
      </c>
      <c r="H49" s="28">
        <v>0</v>
      </c>
      <c r="I49" s="139">
        <v>0</v>
      </c>
      <c r="J49" s="28">
        <v>0</v>
      </c>
      <c r="K49" s="28">
        <v>0</v>
      </c>
      <c r="L49" s="18">
        <v>0</v>
      </c>
      <c r="N49" s="46">
        <f t="shared" si="9"/>
        <v>0</v>
      </c>
      <c r="P49" s="35">
        <v>0</v>
      </c>
    </row>
    <row r="50" spans="1:18" x14ac:dyDescent="0.25">
      <c r="A50" s="449"/>
      <c r="B50" s="452"/>
      <c r="C50" s="457"/>
      <c r="D50" s="106" t="s">
        <v>18</v>
      </c>
      <c r="E50" s="28">
        <f t="shared" si="2"/>
        <v>70919.963000000003</v>
      </c>
      <c r="F50" s="71">
        <v>0</v>
      </c>
      <c r="G50" s="28">
        <v>0</v>
      </c>
      <c r="H50" s="28">
        <v>0</v>
      </c>
      <c r="I50" s="140">
        <f>23571.10901-13972.73901</f>
        <v>9598.3700000000008</v>
      </c>
      <c r="J50" s="31">
        <v>17684.593000000001</v>
      </c>
      <c r="K50" s="32">
        <v>3137</v>
      </c>
      <c r="L50" s="18">
        <v>40500</v>
      </c>
      <c r="N50" s="46">
        <f t="shared" si="9"/>
        <v>-13972.739009999999</v>
      </c>
      <c r="O50" s="21" t="s">
        <v>276</v>
      </c>
      <c r="P50" s="141">
        <f>25031.37-1460.26099</f>
        <v>23571.10901</v>
      </c>
      <c r="R50" s="141">
        <f>25031.37-1460.26099</f>
        <v>23571.10901</v>
      </c>
    </row>
    <row r="51" spans="1:18" s="29" customFormat="1" x14ac:dyDescent="0.25">
      <c r="A51" s="449"/>
      <c r="B51" s="452"/>
      <c r="C51" s="457" t="s">
        <v>176</v>
      </c>
      <c r="D51" s="106" t="s">
        <v>12</v>
      </c>
      <c r="E51" s="28">
        <f t="shared" si="2"/>
        <v>1409305.7978000001</v>
      </c>
      <c r="F51" s="71">
        <f t="shared" ref="F51:H51" si="17">SUM(F52:F57)</f>
        <v>265344.92694999999</v>
      </c>
      <c r="G51" s="28">
        <f t="shared" si="17"/>
        <v>264161.92694999999</v>
      </c>
      <c r="H51" s="28">
        <f t="shared" si="17"/>
        <v>264161.92694999999</v>
      </c>
      <c r="I51" s="142">
        <f>SUM(I52:I57)</f>
        <v>462111.92694999999</v>
      </c>
      <c r="J51" s="34">
        <f t="shared" ref="J51:L51" si="18">SUM(J52:J57)</f>
        <v>153525.09</v>
      </c>
      <c r="K51" s="34">
        <f t="shared" si="18"/>
        <v>0</v>
      </c>
      <c r="L51" s="28">
        <f t="shared" si="18"/>
        <v>0</v>
      </c>
      <c r="N51" s="46">
        <f t="shared" si="9"/>
        <v>-20803.127659999998</v>
      </c>
      <c r="P51" s="34">
        <f>SUM(P52:P57)</f>
        <v>482915.05460999999</v>
      </c>
      <c r="R51" s="90"/>
    </row>
    <row r="52" spans="1:18" x14ac:dyDescent="0.25">
      <c r="A52" s="449"/>
      <c r="B52" s="452"/>
      <c r="C52" s="457"/>
      <c r="D52" s="106" t="s">
        <v>13</v>
      </c>
      <c r="E52" s="28">
        <f t="shared" si="2"/>
        <v>0</v>
      </c>
      <c r="F52" s="71">
        <v>0</v>
      </c>
      <c r="G52" s="28">
        <v>0</v>
      </c>
      <c r="H52" s="28">
        <v>0</v>
      </c>
      <c r="I52" s="130">
        <v>0</v>
      </c>
      <c r="J52" s="28">
        <v>0</v>
      </c>
      <c r="K52" s="28">
        <v>0</v>
      </c>
      <c r="L52" s="28">
        <v>0</v>
      </c>
      <c r="N52" s="46">
        <f t="shared" si="9"/>
        <v>0</v>
      </c>
      <c r="P52" s="28">
        <v>0</v>
      </c>
    </row>
    <row r="53" spans="1:18" x14ac:dyDescent="0.25">
      <c r="A53" s="449"/>
      <c r="B53" s="452"/>
      <c r="C53" s="457"/>
      <c r="D53" s="106" t="s">
        <v>14</v>
      </c>
      <c r="E53" s="28">
        <f t="shared" si="2"/>
        <v>0</v>
      </c>
      <c r="F53" s="71">
        <v>0</v>
      </c>
      <c r="G53" s="28">
        <v>0</v>
      </c>
      <c r="H53" s="28">
        <v>0</v>
      </c>
      <c r="I53" s="132">
        <v>0</v>
      </c>
      <c r="J53" s="27">
        <v>0</v>
      </c>
      <c r="K53" s="27">
        <v>0</v>
      </c>
      <c r="L53" s="27">
        <v>0</v>
      </c>
      <c r="N53" s="46">
        <f t="shared" si="9"/>
        <v>0</v>
      </c>
      <c r="P53" s="27">
        <v>0</v>
      </c>
    </row>
    <row r="54" spans="1:18" x14ac:dyDescent="0.25">
      <c r="A54" s="449"/>
      <c r="B54" s="452"/>
      <c r="C54" s="457"/>
      <c r="D54" s="106" t="s">
        <v>141</v>
      </c>
      <c r="E54" s="28">
        <f t="shared" si="2"/>
        <v>1057830.7078</v>
      </c>
      <c r="F54" s="71">
        <f>284161.92695-18817</f>
        <v>265344.92694999999</v>
      </c>
      <c r="G54" s="28">
        <v>264161.92694999999</v>
      </c>
      <c r="H54" s="28">
        <f>264161.92695</f>
        <v>264161.92694999999</v>
      </c>
      <c r="I54" s="138">
        <f>12050+8753.12766-12050-8753.12766+264161.92695</f>
        <v>264161.92694999999</v>
      </c>
      <c r="J54" s="27">
        <v>0</v>
      </c>
      <c r="K54" s="27">
        <v>0</v>
      </c>
      <c r="L54" s="27">
        <v>0</v>
      </c>
      <c r="N54" s="46">
        <f t="shared" si="9"/>
        <v>243358.79929</v>
      </c>
      <c r="P54" s="28">
        <f>12050+8753.12766</f>
        <v>20803.127659999998</v>
      </c>
      <c r="Q54" s="21" t="s">
        <v>235</v>
      </c>
    </row>
    <row r="55" spans="1:18" ht="30" x14ac:dyDescent="0.25">
      <c r="A55" s="449"/>
      <c r="B55" s="452"/>
      <c r="C55" s="457"/>
      <c r="D55" s="105" t="s">
        <v>91</v>
      </c>
      <c r="E55" s="28">
        <f t="shared" si="2"/>
        <v>0</v>
      </c>
      <c r="F55" s="71">
        <v>0</v>
      </c>
      <c r="G55" s="28">
        <v>0</v>
      </c>
      <c r="H55" s="28">
        <v>0</v>
      </c>
      <c r="I55" s="132">
        <v>0</v>
      </c>
      <c r="J55" s="27">
        <v>0</v>
      </c>
      <c r="K55" s="27">
        <v>0</v>
      </c>
      <c r="L55" s="27">
        <v>0</v>
      </c>
      <c r="N55" s="46">
        <f t="shared" si="9"/>
        <v>0</v>
      </c>
      <c r="P55" s="27">
        <v>0</v>
      </c>
    </row>
    <row r="56" spans="1:18" x14ac:dyDescent="0.25">
      <c r="A56" s="449"/>
      <c r="B56" s="452"/>
      <c r="C56" s="457"/>
      <c r="D56" s="105" t="s">
        <v>90</v>
      </c>
      <c r="E56" s="28">
        <f t="shared" si="2"/>
        <v>0</v>
      </c>
      <c r="F56" s="71">
        <v>0</v>
      </c>
      <c r="G56" s="28">
        <v>0</v>
      </c>
      <c r="H56" s="28">
        <v>0</v>
      </c>
      <c r="I56" s="132">
        <v>0</v>
      </c>
      <c r="J56" s="27">
        <v>0</v>
      </c>
      <c r="K56" s="125"/>
      <c r="L56" s="27">
        <v>0</v>
      </c>
      <c r="N56" s="46">
        <f t="shared" si="9"/>
        <v>0</v>
      </c>
      <c r="P56" s="27">
        <v>0</v>
      </c>
    </row>
    <row r="57" spans="1:18" s="127" customFormat="1" x14ac:dyDescent="0.25">
      <c r="A57" s="450"/>
      <c r="B57" s="453"/>
      <c r="C57" s="457"/>
      <c r="D57" s="109" t="s">
        <v>18</v>
      </c>
      <c r="E57" s="110">
        <f t="shared" si="2"/>
        <v>351475.08999999997</v>
      </c>
      <c r="F57" s="143">
        <v>0</v>
      </c>
      <c r="G57" s="110">
        <v>0</v>
      </c>
      <c r="H57" s="111">
        <v>0</v>
      </c>
      <c r="I57" s="144">
        <f>264161.92695+197950-264161.92695</f>
        <v>197950</v>
      </c>
      <c r="J57" s="110">
        <v>153525.09</v>
      </c>
      <c r="K57" s="110">
        <v>0</v>
      </c>
      <c r="L57" s="110">
        <v>0</v>
      </c>
      <c r="N57" s="134">
        <f t="shared" si="9"/>
        <v>-264161.92694999999</v>
      </c>
      <c r="O57" s="127" t="s">
        <v>275</v>
      </c>
      <c r="P57" s="110">
        <f>264161.92695+197950</f>
        <v>462111.92694999999</v>
      </c>
      <c r="R57" s="135"/>
    </row>
    <row r="58" spans="1:18" x14ac:dyDescent="0.25">
      <c r="A58" s="442" t="s">
        <v>129</v>
      </c>
      <c r="B58" s="443" t="s">
        <v>183</v>
      </c>
      <c r="C58" s="445" t="s">
        <v>131</v>
      </c>
      <c r="D58" s="106" t="s">
        <v>12</v>
      </c>
      <c r="E58" s="28">
        <f t="shared" ref="E58:E64" si="19">SUM(F58:L58)</f>
        <v>2606.6852699999999</v>
      </c>
      <c r="F58" s="71">
        <f t="shared" ref="F58:H58" si="20">SUM(F59:F64)</f>
        <v>1167.1500000000001</v>
      </c>
      <c r="G58" s="28">
        <f t="shared" si="20"/>
        <v>485.97599999999994</v>
      </c>
      <c r="H58" s="28">
        <f t="shared" si="20"/>
        <v>953.55926999999997</v>
      </c>
      <c r="I58" s="130">
        <f>SUM(I59:I64)</f>
        <v>0</v>
      </c>
      <c r="J58" s="28">
        <f t="shared" ref="J58:L58" si="21">SUM(J59:J64)</f>
        <v>0</v>
      </c>
      <c r="K58" s="28">
        <f t="shared" si="21"/>
        <v>0</v>
      </c>
      <c r="L58" s="28">
        <f t="shared" si="21"/>
        <v>0</v>
      </c>
      <c r="N58" s="46">
        <f t="shared" si="9"/>
        <v>0</v>
      </c>
      <c r="P58" s="28">
        <f>SUM(P59:P64)</f>
        <v>0</v>
      </c>
    </row>
    <row r="59" spans="1:18" x14ac:dyDescent="0.25">
      <c r="A59" s="442"/>
      <c r="B59" s="443"/>
      <c r="C59" s="446"/>
      <c r="D59" s="106" t="s">
        <v>13</v>
      </c>
      <c r="E59" s="28">
        <f t="shared" si="19"/>
        <v>0</v>
      </c>
      <c r="F59" s="71">
        <v>0</v>
      </c>
      <c r="G59" s="28">
        <v>0</v>
      </c>
      <c r="H59" s="28">
        <v>0</v>
      </c>
      <c r="I59" s="130">
        <v>0</v>
      </c>
      <c r="J59" s="28">
        <v>0</v>
      </c>
      <c r="K59" s="28">
        <v>0</v>
      </c>
      <c r="L59" s="28">
        <v>0</v>
      </c>
      <c r="N59" s="46">
        <f t="shared" si="9"/>
        <v>0</v>
      </c>
      <c r="P59" s="28">
        <v>0</v>
      </c>
    </row>
    <row r="60" spans="1:18" x14ac:dyDescent="0.25">
      <c r="A60" s="442"/>
      <c r="B60" s="443"/>
      <c r="C60" s="446"/>
      <c r="D60" s="106" t="s">
        <v>14</v>
      </c>
      <c r="E60" s="35">
        <f t="shared" si="19"/>
        <v>0</v>
      </c>
      <c r="F60" s="71">
        <f>4668.6-4668.6</f>
        <v>0</v>
      </c>
      <c r="G60" s="28"/>
      <c r="H60" s="28"/>
      <c r="I60" s="130">
        <v>0</v>
      </c>
      <c r="J60" s="28"/>
      <c r="K60" s="28">
        <v>0</v>
      </c>
      <c r="L60" s="28">
        <v>0</v>
      </c>
      <c r="N60" s="46">
        <f t="shared" si="9"/>
        <v>0</v>
      </c>
      <c r="P60" s="28">
        <v>0</v>
      </c>
    </row>
    <row r="61" spans="1:18" x14ac:dyDescent="0.25">
      <c r="A61" s="442"/>
      <c r="B61" s="443"/>
      <c r="C61" s="446"/>
      <c r="D61" s="106" t="s">
        <v>15</v>
      </c>
      <c r="E61" s="35">
        <f t="shared" si="19"/>
        <v>2606.6852699999999</v>
      </c>
      <c r="F61" s="72">
        <f>1167.15</f>
        <v>1167.1500000000001</v>
      </c>
      <c r="G61" s="17">
        <f>828.43-342.454</f>
        <v>485.97599999999994</v>
      </c>
      <c r="H61" s="17">
        <f>603.55927+350</f>
        <v>953.55926999999997</v>
      </c>
      <c r="I61" s="145">
        <v>0</v>
      </c>
      <c r="J61" s="28"/>
      <c r="K61" s="28">
        <v>0</v>
      </c>
      <c r="L61" s="28">
        <v>0</v>
      </c>
      <c r="N61" s="46">
        <f t="shared" si="9"/>
        <v>0</v>
      </c>
      <c r="P61" s="18">
        <v>0</v>
      </c>
    </row>
    <row r="62" spans="1:18" ht="30" x14ac:dyDescent="0.25">
      <c r="A62" s="442"/>
      <c r="B62" s="443"/>
      <c r="C62" s="446"/>
      <c r="D62" s="105" t="s">
        <v>91</v>
      </c>
      <c r="E62" s="35">
        <f t="shared" si="19"/>
        <v>0</v>
      </c>
      <c r="F62" s="73">
        <v>0</v>
      </c>
      <c r="G62" s="34">
        <v>0</v>
      </c>
      <c r="H62" s="34">
        <v>0</v>
      </c>
      <c r="I62" s="130">
        <v>0</v>
      </c>
      <c r="J62" s="28">
        <v>0</v>
      </c>
      <c r="K62" s="28">
        <v>0</v>
      </c>
      <c r="L62" s="28">
        <v>0</v>
      </c>
      <c r="N62" s="46">
        <f t="shared" si="9"/>
        <v>0</v>
      </c>
      <c r="P62" s="28">
        <v>0</v>
      </c>
    </row>
    <row r="63" spans="1:18" x14ac:dyDescent="0.25">
      <c r="A63" s="442"/>
      <c r="B63" s="443"/>
      <c r="C63" s="446"/>
      <c r="D63" s="105" t="s">
        <v>90</v>
      </c>
      <c r="E63" s="28">
        <f t="shared" si="19"/>
        <v>0</v>
      </c>
      <c r="F63" s="71">
        <v>0</v>
      </c>
      <c r="G63" s="28">
        <v>0</v>
      </c>
      <c r="H63" s="28">
        <v>0</v>
      </c>
      <c r="I63" s="130">
        <v>0</v>
      </c>
      <c r="J63" s="28">
        <v>0</v>
      </c>
      <c r="K63" s="28">
        <v>0</v>
      </c>
      <c r="L63" s="28">
        <v>0</v>
      </c>
      <c r="N63" s="46">
        <f t="shared" si="9"/>
        <v>0</v>
      </c>
      <c r="P63" s="28">
        <v>0</v>
      </c>
    </row>
    <row r="64" spans="1:18" s="127" customFormat="1" x14ac:dyDescent="0.25">
      <c r="A64" s="442"/>
      <c r="B64" s="443"/>
      <c r="C64" s="447"/>
      <c r="D64" s="109" t="s">
        <v>18</v>
      </c>
      <c r="E64" s="110">
        <f t="shared" si="19"/>
        <v>0</v>
      </c>
      <c r="F64" s="143">
        <v>0</v>
      </c>
      <c r="G64" s="110">
        <v>0</v>
      </c>
      <c r="H64" s="110">
        <v>0</v>
      </c>
      <c r="I64" s="133">
        <v>0</v>
      </c>
      <c r="J64" s="110">
        <v>0</v>
      </c>
      <c r="K64" s="110">
        <v>0</v>
      </c>
      <c r="L64" s="110">
        <v>0</v>
      </c>
      <c r="N64" s="134">
        <f t="shared" si="9"/>
        <v>0</v>
      </c>
      <c r="P64" s="110">
        <v>0</v>
      </c>
      <c r="R64" s="135"/>
    </row>
    <row r="65" spans="1:18" x14ac:dyDescent="0.25">
      <c r="A65" s="442" t="s">
        <v>198</v>
      </c>
      <c r="B65" s="443" t="s">
        <v>193</v>
      </c>
      <c r="C65" s="444" t="s">
        <v>194</v>
      </c>
      <c r="D65" s="106" t="s">
        <v>12</v>
      </c>
      <c r="E65" s="28">
        <f>SUM(F65:L65)</f>
        <v>14220.125</v>
      </c>
      <c r="F65" s="28">
        <f t="shared" ref="F65:H65" si="22">SUM(F66:F71)</f>
        <v>0</v>
      </c>
      <c r="G65" s="28">
        <f t="shared" si="22"/>
        <v>0</v>
      </c>
      <c r="H65" s="28">
        <f t="shared" si="22"/>
        <v>0</v>
      </c>
      <c r="I65" s="130">
        <f>SUM(I66:I71)</f>
        <v>5000</v>
      </c>
      <c r="J65" s="28">
        <f t="shared" ref="J65:L65" si="23">SUM(J66:J71)</f>
        <v>9220.125</v>
      </c>
      <c r="K65" s="27">
        <f t="shared" si="23"/>
        <v>0</v>
      </c>
      <c r="L65" s="27">
        <f t="shared" si="23"/>
        <v>0</v>
      </c>
      <c r="N65" s="46">
        <f t="shared" si="9"/>
        <v>0</v>
      </c>
      <c r="P65" s="28">
        <f>SUM(P66:P71)</f>
        <v>5000</v>
      </c>
    </row>
    <row r="66" spans="1:18" x14ac:dyDescent="0.25">
      <c r="A66" s="442"/>
      <c r="B66" s="443"/>
      <c r="C66" s="444"/>
      <c r="D66" s="106" t="s">
        <v>13</v>
      </c>
      <c r="E66" s="28">
        <f t="shared" ref="E66:E71" si="24">SUM(F66:L66)</f>
        <v>8120</v>
      </c>
      <c r="F66" s="28">
        <v>0</v>
      </c>
      <c r="G66" s="28">
        <v>0</v>
      </c>
      <c r="H66" s="28">
        <v>0</v>
      </c>
      <c r="I66" s="130">
        <v>5000</v>
      </c>
      <c r="J66" s="33">
        <v>3120</v>
      </c>
      <c r="K66" s="27">
        <v>0</v>
      </c>
      <c r="L66" s="27">
        <v>0</v>
      </c>
      <c r="N66" s="46">
        <f t="shared" si="9"/>
        <v>0</v>
      </c>
      <c r="P66" s="28">
        <v>5000</v>
      </c>
    </row>
    <row r="67" spans="1:18" x14ac:dyDescent="0.25">
      <c r="A67" s="442"/>
      <c r="B67" s="443"/>
      <c r="C67" s="444"/>
      <c r="D67" s="106" t="s">
        <v>14</v>
      </c>
      <c r="E67" s="28">
        <f t="shared" si="24"/>
        <v>4880.1000000000004</v>
      </c>
      <c r="F67" s="28">
        <v>0</v>
      </c>
      <c r="G67" s="28">
        <v>0</v>
      </c>
      <c r="H67" s="28">
        <v>0</v>
      </c>
      <c r="I67" s="130">
        <v>0</v>
      </c>
      <c r="J67" s="28">
        <v>4880.1000000000004</v>
      </c>
      <c r="K67" s="28">
        <v>0</v>
      </c>
      <c r="L67" s="28">
        <v>0</v>
      </c>
      <c r="N67" s="46">
        <f t="shared" si="9"/>
        <v>0</v>
      </c>
      <c r="P67" s="28">
        <v>0</v>
      </c>
    </row>
    <row r="68" spans="1:18" x14ac:dyDescent="0.25">
      <c r="A68" s="442"/>
      <c r="B68" s="443"/>
      <c r="C68" s="444"/>
      <c r="D68" s="106" t="s">
        <v>15</v>
      </c>
      <c r="E68" s="28">
        <f t="shared" si="24"/>
        <v>1220.0250000000001</v>
      </c>
      <c r="F68" s="28">
        <v>0</v>
      </c>
      <c r="G68" s="28">
        <v>0</v>
      </c>
      <c r="H68" s="28">
        <v>0</v>
      </c>
      <c r="I68" s="130">
        <v>0</v>
      </c>
      <c r="J68" s="28">
        <v>1220.0250000000001</v>
      </c>
      <c r="K68" s="28">
        <v>0</v>
      </c>
      <c r="L68" s="28">
        <v>0</v>
      </c>
      <c r="N68" s="46">
        <f t="shared" si="9"/>
        <v>0</v>
      </c>
      <c r="P68" s="28">
        <v>0</v>
      </c>
    </row>
    <row r="69" spans="1:18" ht="30" x14ac:dyDescent="0.25">
      <c r="A69" s="442"/>
      <c r="B69" s="443"/>
      <c r="C69" s="444"/>
      <c r="D69" s="105" t="s">
        <v>89</v>
      </c>
      <c r="E69" s="28">
        <f t="shared" si="24"/>
        <v>0</v>
      </c>
      <c r="F69" s="28">
        <v>0</v>
      </c>
      <c r="G69" s="28">
        <v>0</v>
      </c>
      <c r="H69" s="28">
        <v>0</v>
      </c>
      <c r="I69" s="130">
        <v>0</v>
      </c>
      <c r="J69" s="28">
        <v>0</v>
      </c>
      <c r="K69" s="28">
        <v>0</v>
      </c>
      <c r="L69" s="28">
        <v>0</v>
      </c>
      <c r="N69" s="46">
        <f t="shared" si="9"/>
        <v>0</v>
      </c>
      <c r="P69" s="28">
        <v>0</v>
      </c>
    </row>
    <row r="70" spans="1:18" x14ac:dyDescent="0.25">
      <c r="A70" s="442"/>
      <c r="B70" s="443"/>
      <c r="C70" s="444"/>
      <c r="D70" s="105" t="s">
        <v>90</v>
      </c>
      <c r="E70" s="28">
        <f t="shared" si="24"/>
        <v>0</v>
      </c>
      <c r="F70" s="28">
        <v>0</v>
      </c>
      <c r="G70" s="28">
        <v>0</v>
      </c>
      <c r="H70" s="28">
        <v>0</v>
      </c>
      <c r="I70" s="130">
        <v>0</v>
      </c>
      <c r="J70" s="28">
        <v>0</v>
      </c>
      <c r="K70" s="28">
        <v>0</v>
      </c>
      <c r="L70" s="28">
        <v>0</v>
      </c>
      <c r="N70" s="46">
        <f t="shared" si="9"/>
        <v>0</v>
      </c>
      <c r="P70" s="28">
        <v>0</v>
      </c>
    </row>
    <row r="71" spans="1:18" s="127" customFormat="1" x14ac:dyDescent="0.25">
      <c r="A71" s="442"/>
      <c r="B71" s="443"/>
      <c r="C71" s="444"/>
      <c r="D71" s="109" t="s">
        <v>18</v>
      </c>
      <c r="E71" s="110">
        <f t="shared" si="24"/>
        <v>0</v>
      </c>
      <c r="F71" s="110">
        <v>0</v>
      </c>
      <c r="G71" s="110">
        <v>0</v>
      </c>
      <c r="H71" s="110">
        <v>0</v>
      </c>
      <c r="I71" s="133">
        <v>0</v>
      </c>
      <c r="J71" s="110">
        <v>0</v>
      </c>
      <c r="K71" s="110">
        <v>0</v>
      </c>
      <c r="L71" s="110">
        <v>0</v>
      </c>
      <c r="N71" s="134">
        <f t="shared" si="9"/>
        <v>0</v>
      </c>
      <c r="P71" s="110">
        <v>0</v>
      </c>
      <c r="R71" s="135"/>
    </row>
    <row r="72" spans="1:18" s="146" customFormat="1" x14ac:dyDescent="0.25">
      <c r="A72" s="515" t="s">
        <v>92</v>
      </c>
      <c r="B72" s="516"/>
      <c r="C72" s="517"/>
      <c r="D72" s="109" t="s">
        <v>12</v>
      </c>
      <c r="E72" s="110">
        <f>SUM(F72:L72)</f>
        <v>1527053.1493900002</v>
      </c>
      <c r="F72" s="143">
        <f t="shared" ref="F72:H72" si="25">SUM(F73:F78)</f>
        <v>280659.76495000004</v>
      </c>
      <c r="G72" s="110">
        <f t="shared" si="25"/>
        <v>274192.78909000003</v>
      </c>
      <c r="H72" s="110">
        <f t="shared" si="25"/>
        <v>268165.85441000003</v>
      </c>
      <c r="I72" s="133">
        <f>SUM(I73:I78)</f>
        <v>479767.93293999997</v>
      </c>
      <c r="J72" s="110">
        <f t="shared" ref="J72:L72" si="26">SUM(J73:J78)</f>
        <v>180629.80799999999</v>
      </c>
      <c r="K72" s="110">
        <f t="shared" si="26"/>
        <v>3137</v>
      </c>
      <c r="L72" s="110">
        <f t="shared" si="26"/>
        <v>40500</v>
      </c>
      <c r="N72" s="134">
        <f t="shared" si="9"/>
        <v>-33325.866670000018</v>
      </c>
      <c r="P72" s="110">
        <f>SUM(P73:P78)</f>
        <v>513093.79960999999</v>
      </c>
      <c r="R72" s="147"/>
    </row>
    <row r="73" spans="1:18" s="146" customFormat="1" x14ac:dyDescent="0.25">
      <c r="A73" s="518"/>
      <c r="B73" s="519"/>
      <c r="C73" s="520"/>
      <c r="D73" s="109" t="s">
        <v>13</v>
      </c>
      <c r="E73" s="110">
        <f t="shared" si="2"/>
        <v>8120</v>
      </c>
      <c r="F73" s="143">
        <f>F66+F17+F31+F38+F59+F24</f>
        <v>0</v>
      </c>
      <c r="G73" s="110">
        <f>G66+G17+G31+G38+G59+G24</f>
        <v>0</v>
      </c>
      <c r="H73" s="110">
        <f t="shared" ref="H73:L73" si="27">H66+H17+H31+H38+H59+H24</f>
        <v>0</v>
      </c>
      <c r="I73" s="133">
        <f t="shared" si="27"/>
        <v>5000</v>
      </c>
      <c r="J73" s="110">
        <f t="shared" si="27"/>
        <v>3120</v>
      </c>
      <c r="K73" s="110">
        <f t="shared" si="27"/>
        <v>0</v>
      </c>
      <c r="L73" s="110">
        <f t="shared" si="27"/>
        <v>0</v>
      </c>
      <c r="N73" s="134">
        <f t="shared" si="9"/>
        <v>0</v>
      </c>
      <c r="P73" s="110">
        <f t="shared" ref="P73:P78" si="28">P66+P17+P31+P38+P59+P24</f>
        <v>5000</v>
      </c>
      <c r="R73" s="147"/>
    </row>
    <row r="74" spans="1:18" s="146" customFormat="1" x14ac:dyDescent="0.25">
      <c r="A74" s="518"/>
      <c r="B74" s="519"/>
      <c r="C74" s="520"/>
      <c r="D74" s="109" t="s">
        <v>14</v>
      </c>
      <c r="E74" s="110">
        <f t="shared" si="2"/>
        <v>16374.6</v>
      </c>
      <c r="F74" s="143">
        <f>F11+F18+F32+F39+F60+F25</f>
        <v>5644.5</v>
      </c>
      <c r="G74" s="110">
        <f t="shared" ref="G74:L78" si="29">G67+G18+G32+G39+G60+G25</f>
        <v>4200</v>
      </c>
      <c r="H74" s="110">
        <f t="shared" si="29"/>
        <v>200</v>
      </c>
      <c r="I74" s="133">
        <f t="shared" si="29"/>
        <v>1450</v>
      </c>
      <c r="J74" s="110">
        <f t="shared" si="29"/>
        <v>4880.1000000000004</v>
      </c>
      <c r="K74" s="110">
        <f t="shared" si="29"/>
        <v>0</v>
      </c>
      <c r="L74" s="110">
        <f t="shared" si="29"/>
        <v>0</v>
      </c>
      <c r="N74" s="134">
        <f t="shared" si="9"/>
        <v>1450</v>
      </c>
      <c r="P74" s="110">
        <f t="shared" si="28"/>
        <v>0</v>
      </c>
      <c r="R74" s="147"/>
    </row>
    <row r="75" spans="1:18" s="146" customFormat="1" x14ac:dyDescent="0.25">
      <c r="A75" s="518"/>
      <c r="B75" s="519"/>
      <c r="C75" s="520"/>
      <c r="D75" s="109" t="s">
        <v>15</v>
      </c>
      <c r="E75" s="110">
        <f t="shared" si="2"/>
        <v>1080163.49639</v>
      </c>
      <c r="F75" s="143">
        <f>F12+F19+F33+F40+F61+F26</f>
        <v>275015.26495000004</v>
      </c>
      <c r="G75" s="110">
        <f t="shared" si="29"/>
        <v>269992.78909000003</v>
      </c>
      <c r="H75" s="110">
        <f t="shared" si="29"/>
        <v>267965.85441000003</v>
      </c>
      <c r="I75" s="133">
        <f t="shared" si="29"/>
        <v>265769.56293999997</v>
      </c>
      <c r="J75" s="110">
        <f t="shared" si="29"/>
        <v>1420.0250000000001</v>
      </c>
      <c r="K75" s="110">
        <f t="shared" si="29"/>
        <v>0</v>
      </c>
      <c r="L75" s="110">
        <f t="shared" si="29"/>
        <v>0</v>
      </c>
      <c r="N75" s="134">
        <f t="shared" si="9"/>
        <v>243358.79928999997</v>
      </c>
      <c r="P75" s="110">
        <f t="shared" si="28"/>
        <v>22410.763649999997</v>
      </c>
      <c r="R75" s="147"/>
    </row>
    <row r="76" spans="1:18" s="146" customFormat="1" ht="30" x14ac:dyDescent="0.25">
      <c r="A76" s="518"/>
      <c r="B76" s="519"/>
      <c r="C76" s="520"/>
      <c r="D76" s="113" t="s">
        <v>91</v>
      </c>
      <c r="E76" s="110">
        <f t="shared" si="2"/>
        <v>0</v>
      </c>
      <c r="F76" s="143">
        <f>F13+F20+F34+F41+F62+F27</f>
        <v>0</v>
      </c>
      <c r="G76" s="110">
        <f t="shared" si="29"/>
        <v>0</v>
      </c>
      <c r="H76" s="110">
        <f t="shared" si="29"/>
        <v>0</v>
      </c>
      <c r="I76" s="133">
        <f t="shared" si="29"/>
        <v>0</v>
      </c>
      <c r="J76" s="110">
        <f t="shared" si="29"/>
        <v>0</v>
      </c>
      <c r="K76" s="110">
        <f t="shared" si="29"/>
        <v>0</v>
      </c>
      <c r="L76" s="110">
        <f t="shared" si="29"/>
        <v>0</v>
      </c>
      <c r="N76" s="134">
        <f t="shared" si="9"/>
        <v>0</v>
      </c>
      <c r="P76" s="110">
        <f t="shared" si="28"/>
        <v>0</v>
      </c>
      <c r="R76" s="147"/>
    </row>
    <row r="77" spans="1:18" s="146" customFormat="1" x14ac:dyDescent="0.25">
      <c r="A77" s="518"/>
      <c r="B77" s="519"/>
      <c r="C77" s="520"/>
      <c r="D77" s="113" t="s">
        <v>90</v>
      </c>
      <c r="E77" s="110">
        <f t="shared" si="2"/>
        <v>0</v>
      </c>
      <c r="F77" s="143">
        <f>F14+F21+F35+F42+F63+F28</f>
        <v>0</v>
      </c>
      <c r="G77" s="110">
        <f t="shared" si="29"/>
        <v>0</v>
      </c>
      <c r="H77" s="110">
        <f t="shared" si="29"/>
        <v>0</v>
      </c>
      <c r="I77" s="133">
        <f t="shared" si="29"/>
        <v>0</v>
      </c>
      <c r="J77" s="110">
        <f t="shared" si="29"/>
        <v>0</v>
      </c>
      <c r="K77" s="110">
        <f t="shared" si="29"/>
        <v>0</v>
      </c>
      <c r="L77" s="110">
        <f t="shared" si="29"/>
        <v>0</v>
      </c>
      <c r="N77" s="134">
        <f t="shared" si="9"/>
        <v>0</v>
      </c>
      <c r="P77" s="110">
        <f t="shared" si="28"/>
        <v>0</v>
      </c>
      <c r="R77" s="147"/>
    </row>
    <row r="78" spans="1:18" s="148" customFormat="1" x14ac:dyDescent="0.25">
      <c r="A78" s="521"/>
      <c r="B78" s="522"/>
      <c r="C78" s="523"/>
      <c r="D78" s="114" t="s">
        <v>18</v>
      </c>
      <c r="E78" s="115">
        <f t="shared" si="2"/>
        <v>422395.05299999996</v>
      </c>
      <c r="F78" s="136">
        <f>F15+F22+F36+F43+F64+F29</f>
        <v>0</v>
      </c>
      <c r="G78" s="115">
        <f t="shared" si="29"/>
        <v>0</v>
      </c>
      <c r="H78" s="115">
        <f t="shared" si="29"/>
        <v>0</v>
      </c>
      <c r="I78" s="137">
        <f t="shared" si="29"/>
        <v>207548.37</v>
      </c>
      <c r="J78" s="115">
        <f t="shared" si="29"/>
        <v>171209.68299999999</v>
      </c>
      <c r="K78" s="115">
        <f t="shared" si="29"/>
        <v>3137</v>
      </c>
      <c r="L78" s="115">
        <f t="shared" si="29"/>
        <v>40500</v>
      </c>
      <c r="N78" s="149">
        <f t="shared" si="9"/>
        <v>-278134.66596000001</v>
      </c>
      <c r="P78" s="115">
        <f t="shared" si="28"/>
        <v>485683.03596000001</v>
      </c>
      <c r="R78" s="150"/>
    </row>
    <row r="79" spans="1:18" s="29" customFormat="1" x14ac:dyDescent="0.25">
      <c r="A79" s="441" t="s">
        <v>227</v>
      </c>
      <c r="B79" s="441"/>
      <c r="C79" s="441"/>
      <c r="D79" s="441"/>
      <c r="E79" s="441"/>
      <c r="F79" s="441"/>
      <c r="G79" s="441"/>
      <c r="H79" s="441"/>
      <c r="I79" s="441"/>
      <c r="J79" s="441"/>
      <c r="K79" s="441"/>
      <c r="L79" s="441"/>
      <c r="N79" s="46">
        <f t="shared" si="9"/>
        <v>0</v>
      </c>
      <c r="R79" s="90"/>
    </row>
    <row r="80" spans="1:18" x14ac:dyDescent="0.25">
      <c r="A80" s="442"/>
      <c r="B80" s="443" t="s">
        <v>184</v>
      </c>
      <c r="C80" s="445" t="s">
        <v>175</v>
      </c>
      <c r="D80" s="106" t="s">
        <v>12</v>
      </c>
      <c r="E80" s="27">
        <f t="shared" ref="E80:E170" si="30">SUM(F80:L80)</f>
        <v>0</v>
      </c>
      <c r="F80" s="27">
        <f t="shared" ref="F80:H80" si="31">SUM(F81:F86)</f>
        <v>0</v>
      </c>
      <c r="G80" s="27">
        <f t="shared" si="31"/>
        <v>0</v>
      </c>
      <c r="H80" s="27">
        <f t="shared" si="31"/>
        <v>0</v>
      </c>
      <c r="I80" s="132">
        <f>SUM(I81:I86)</f>
        <v>0</v>
      </c>
      <c r="J80" s="27">
        <f t="shared" ref="J80:L80" si="32">SUM(J81:J86)</f>
        <v>0</v>
      </c>
      <c r="K80" s="27">
        <f t="shared" si="32"/>
        <v>0</v>
      </c>
      <c r="L80" s="27">
        <f t="shared" si="32"/>
        <v>0</v>
      </c>
      <c r="N80" s="46">
        <f t="shared" si="9"/>
        <v>0</v>
      </c>
      <c r="P80" s="27">
        <f>SUM(P81:P86)</f>
        <v>0</v>
      </c>
    </row>
    <row r="81" spans="1:18" x14ac:dyDescent="0.25">
      <c r="A81" s="442"/>
      <c r="B81" s="443"/>
      <c r="C81" s="446"/>
      <c r="D81" s="106" t="s">
        <v>13</v>
      </c>
      <c r="E81" s="27">
        <f t="shared" si="30"/>
        <v>0</v>
      </c>
      <c r="F81" s="28">
        <v>0</v>
      </c>
      <c r="G81" s="28">
        <v>0</v>
      </c>
      <c r="H81" s="28">
        <v>0</v>
      </c>
      <c r="I81" s="130">
        <v>0</v>
      </c>
      <c r="J81" s="28">
        <v>0</v>
      </c>
      <c r="K81" s="28">
        <v>0</v>
      </c>
      <c r="L81" s="28">
        <v>0</v>
      </c>
      <c r="N81" s="46">
        <f t="shared" si="9"/>
        <v>0</v>
      </c>
      <c r="P81" s="28">
        <v>0</v>
      </c>
    </row>
    <row r="82" spans="1:18" x14ac:dyDescent="0.25">
      <c r="A82" s="442"/>
      <c r="B82" s="443"/>
      <c r="C82" s="446"/>
      <c r="D82" s="106" t="s">
        <v>14</v>
      </c>
      <c r="E82" s="27">
        <f t="shared" si="30"/>
        <v>0</v>
      </c>
      <c r="F82" s="28">
        <v>0</v>
      </c>
      <c r="G82" s="28">
        <v>0</v>
      </c>
      <c r="H82" s="28">
        <v>0</v>
      </c>
      <c r="I82" s="130">
        <v>0</v>
      </c>
      <c r="J82" s="28">
        <v>0</v>
      </c>
      <c r="K82" s="28">
        <v>0</v>
      </c>
      <c r="L82" s="28">
        <v>0</v>
      </c>
      <c r="N82" s="46">
        <f t="shared" si="9"/>
        <v>0</v>
      </c>
      <c r="P82" s="28">
        <v>0</v>
      </c>
    </row>
    <row r="83" spans="1:18" x14ac:dyDescent="0.25">
      <c r="A83" s="442"/>
      <c r="B83" s="443"/>
      <c r="C83" s="446"/>
      <c r="D83" s="106" t="s">
        <v>15</v>
      </c>
      <c r="E83" s="27">
        <f t="shared" si="30"/>
        <v>0</v>
      </c>
      <c r="F83" s="28">
        <v>0</v>
      </c>
      <c r="G83" s="28">
        <v>0</v>
      </c>
      <c r="H83" s="28">
        <v>0</v>
      </c>
      <c r="I83" s="130">
        <v>0</v>
      </c>
      <c r="J83" s="28">
        <v>0</v>
      </c>
      <c r="K83" s="28">
        <v>0</v>
      </c>
      <c r="L83" s="28">
        <v>0</v>
      </c>
      <c r="N83" s="46">
        <f t="shared" si="9"/>
        <v>0</v>
      </c>
      <c r="P83" s="28">
        <v>0</v>
      </c>
    </row>
    <row r="84" spans="1:18" ht="30" x14ac:dyDescent="0.25">
      <c r="A84" s="442"/>
      <c r="B84" s="443"/>
      <c r="C84" s="446"/>
      <c r="D84" s="105" t="s">
        <v>89</v>
      </c>
      <c r="E84" s="27">
        <f t="shared" si="30"/>
        <v>0</v>
      </c>
      <c r="F84" s="28">
        <v>0</v>
      </c>
      <c r="G84" s="28">
        <v>0</v>
      </c>
      <c r="H84" s="28">
        <v>0</v>
      </c>
      <c r="I84" s="130">
        <v>0</v>
      </c>
      <c r="J84" s="28">
        <v>0</v>
      </c>
      <c r="K84" s="28">
        <v>0</v>
      </c>
      <c r="L84" s="28">
        <v>0</v>
      </c>
      <c r="N84" s="46">
        <f t="shared" si="9"/>
        <v>0</v>
      </c>
      <c r="P84" s="28">
        <v>0</v>
      </c>
    </row>
    <row r="85" spans="1:18" x14ac:dyDescent="0.25">
      <c r="A85" s="442"/>
      <c r="B85" s="443"/>
      <c r="C85" s="446"/>
      <c r="D85" s="105" t="s">
        <v>90</v>
      </c>
      <c r="E85" s="27">
        <f t="shared" si="30"/>
        <v>0</v>
      </c>
      <c r="F85" s="28">
        <v>0</v>
      </c>
      <c r="G85" s="28">
        <v>0</v>
      </c>
      <c r="H85" s="28">
        <v>0</v>
      </c>
      <c r="I85" s="130">
        <v>0</v>
      </c>
      <c r="J85" s="28">
        <v>0</v>
      </c>
      <c r="K85" s="28">
        <v>0</v>
      </c>
      <c r="L85" s="28">
        <v>0</v>
      </c>
      <c r="N85" s="46">
        <f t="shared" si="9"/>
        <v>0</v>
      </c>
      <c r="P85" s="28">
        <v>0</v>
      </c>
    </row>
    <row r="86" spans="1:18" s="127" customFormat="1" x14ac:dyDescent="0.25">
      <c r="A86" s="442"/>
      <c r="B86" s="443"/>
      <c r="C86" s="447"/>
      <c r="D86" s="109" t="s">
        <v>18</v>
      </c>
      <c r="E86" s="112">
        <f t="shared" si="30"/>
        <v>0</v>
      </c>
      <c r="F86" s="110">
        <v>0</v>
      </c>
      <c r="G86" s="110">
        <v>0</v>
      </c>
      <c r="H86" s="110">
        <v>0</v>
      </c>
      <c r="I86" s="133">
        <v>0</v>
      </c>
      <c r="J86" s="110">
        <v>0</v>
      </c>
      <c r="K86" s="110">
        <v>0</v>
      </c>
      <c r="L86" s="110">
        <v>0</v>
      </c>
      <c r="N86" s="134">
        <f t="shared" si="9"/>
        <v>0</v>
      </c>
      <c r="P86" s="110">
        <v>0</v>
      </c>
      <c r="R86" s="135"/>
    </row>
    <row r="87" spans="1:18" x14ac:dyDescent="0.25">
      <c r="A87" s="448" t="s">
        <v>118</v>
      </c>
      <c r="B87" s="467" t="s">
        <v>185</v>
      </c>
      <c r="C87" s="445" t="s">
        <v>8</v>
      </c>
      <c r="D87" s="106" t="s">
        <v>12</v>
      </c>
      <c r="E87" s="28">
        <f t="shared" si="30"/>
        <v>824850.68216105108</v>
      </c>
      <c r="F87" s="71">
        <f t="shared" ref="F87:H87" si="33">SUM(F88:F93)</f>
        <v>56142.819049999998</v>
      </c>
      <c r="G87" s="28">
        <f t="shared" si="33"/>
        <v>62916.400629999996</v>
      </c>
      <c r="H87" s="28">
        <f t="shared" si="33"/>
        <v>65152.898359999999</v>
      </c>
      <c r="I87" s="130">
        <f>SUM(I88:I93)</f>
        <v>68999.790269999998</v>
      </c>
      <c r="J87" s="28">
        <f t="shared" ref="J87:L87" si="34">SUM(J88:J93)</f>
        <v>71104.703286999997</v>
      </c>
      <c r="K87" s="28">
        <f t="shared" si="34"/>
        <v>71316.270322879995</v>
      </c>
      <c r="L87" s="28">
        <f t="shared" si="34"/>
        <v>429217.80024117115</v>
      </c>
      <c r="N87" s="46">
        <f t="shared" si="9"/>
        <v>-1935.9461200000078</v>
      </c>
      <c r="P87" s="28">
        <f>SUM(P88:P93)</f>
        <v>70935.736390000005</v>
      </c>
    </row>
    <row r="88" spans="1:18" x14ac:dyDescent="0.25">
      <c r="A88" s="449"/>
      <c r="B88" s="468"/>
      <c r="C88" s="446"/>
      <c r="D88" s="106" t="s">
        <v>13</v>
      </c>
      <c r="E88" s="28">
        <f t="shared" si="30"/>
        <v>0</v>
      </c>
      <c r="F88" s="71">
        <v>0</v>
      </c>
      <c r="G88" s="28">
        <v>0</v>
      </c>
      <c r="H88" s="28">
        <v>0</v>
      </c>
      <c r="I88" s="130">
        <v>0</v>
      </c>
      <c r="J88" s="28">
        <v>0</v>
      </c>
      <c r="K88" s="28">
        <v>0</v>
      </c>
      <c r="L88" s="28">
        <v>0</v>
      </c>
      <c r="N88" s="46">
        <f t="shared" si="9"/>
        <v>0</v>
      </c>
      <c r="P88" s="28">
        <v>0</v>
      </c>
    </row>
    <row r="89" spans="1:18" x14ac:dyDescent="0.25">
      <c r="A89" s="449"/>
      <c r="B89" s="468"/>
      <c r="C89" s="446"/>
      <c r="D89" s="106" t="s">
        <v>14</v>
      </c>
      <c r="E89" s="28">
        <f t="shared" si="30"/>
        <v>0</v>
      </c>
      <c r="F89" s="71">
        <v>0</v>
      </c>
      <c r="G89" s="28">
        <v>0</v>
      </c>
      <c r="H89" s="28">
        <v>0</v>
      </c>
      <c r="I89" s="130">
        <v>0</v>
      </c>
      <c r="J89" s="28">
        <v>0</v>
      </c>
      <c r="K89" s="28">
        <v>0</v>
      </c>
      <c r="L89" s="28">
        <v>0</v>
      </c>
      <c r="N89" s="46">
        <f t="shared" si="9"/>
        <v>0</v>
      </c>
      <c r="P89" s="28">
        <v>0</v>
      </c>
    </row>
    <row r="90" spans="1:18" x14ac:dyDescent="0.25">
      <c r="A90" s="449"/>
      <c r="B90" s="468"/>
      <c r="C90" s="446"/>
      <c r="D90" s="106" t="s">
        <v>15</v>
      </c>
      <c r="E90" s="28">
        <f t="shared" si="30"/>
        <v>779736.12743000011</v>
      </c>
      <c r="F90" s="71">
        <f>59077.36135-145-3150.5423+361</f>
        <v>56142.819049999998</v>
      </c>
      <c r="G90" s="28">
        <f>62317.64692+342.454+256.29971</f>
        <v>62916.400629999996</v>
      </c>
      <c r="H90" s="28">
        <f>63212.49836+1940.4</f>
        <v>65152.898359999999</v>
      </c>
      <c r="I90" s="138">
        <f>65815.52739+3184.26288</f>
        <v>68999.790269999998</v>
      </c>
      <c r="J90" s="28">
        <v>65815.527390000003</v>
      </c>
      <c r="K90" s="28">
        <v>65815.527390000003</v>
      </c>
      <c r="L90" s="28">
        <f>K90*6</f>
        <v>394893.16434000002</v>
      </c>
      <c r="N90" s="46">
        <f t="shared" si="9"/>
        <v>3184.2628799999948</v>
      </c>
      <c r="O90" s="21" t="s">
        <v>238</v>
      </c>
      <c r="P90" s="28">
        <v>65815.527390000003</v>
      </c>
      <c r="Q90" s="21" t="s">
        <v>236</v>
      </c>
      <c r="R90" s="88">
        <v>2684.2628800000002</v>
      </c>
    </row>
    <row r="91" spans="1:18" ht="30" x14ac:dyDescent="0.25">
      <c r="A91" s="449"/>
      <c r="B91" s="468"/>
      <c r="C91" s="446"/>
      <c r="D91" s="105" t="s">
        <v>91</v>
      </c>
      <c r="E91" s="28">
        <f t="shared" si="30"/>
        <v>0</v>
      </c>
      <c r="F91" s="71">
        <v>0</v>
      </c>
      <c r="G91" s="28">
        <v>0</v>
      </c>
      <c r="H91" s="28">
        <v>0</v>
      </c>
      <c r="I91" s="130">
        <v>0</v>
      </c>
      <c r="J91" s="28">
        <v>0</v>
      </c>
      <c r="K91" s="28">
        <v>0</v>
      </c>
      <c r="L91" s="28">
        <v>0</v>
      </c>
      <c r="N91" s="46">
        <f t="shared" si="9"/>
        <v>0</v>
      </c>
      <c r="P91" s="28">
        <v>0</v>
      </c>
      <c r="Q91" s="87" t="s">
        <v>237</v>
      </c>
      <c r="R91" s="91">
        <v>500</v>
      </c>
    </row>
    <row r="92" spans="1:18" x14ac:dyDescent="0.25">
      <c r="A92" s="449"/>
      <c r="B92" s="468"/>
      <c r="C92" s="446"/>
      <c r="D92" s="105" t="s">
        <v>90</v>
      </c>
      <c r="E92" s="28">
        <f t="shared" si="30"/>
        <v>0</v>
      </c>
      <c r="F92" s="71">
        <v>0</v>
      </c>
      <c r="G92" s="28">
        <v>0</v>
      </c>
      <c r="H92" s="28">
        <v>0</v>
      </c>
      <c r="I92" s="130">
        <v>0</v>
      </c>
      <c r="J92" s="59">
        <v>0</v>
      </c>
      <c r="K92" s="59">
        <v>0</v>
      </c>
      <c r="L92" s="59">
        <v>0</v>
      </c>
      <c r="N92" s="46">
        <f t="shared" si="9"/>
        <v>0</v>
      </c>
      <c r="P92" s="28">
        <v>0</v>
      </c>
    </row>
    <row r="93" spans="1:18" s="127" customFormat="1" x14ac:dyDescent="0.25">
      <c r="A93" s="450"/>
      <c r="B93" s="469"/>
      <c r="C93" s="447"/>
      <c r="D93" s="109" t="s">
        <v>18</v>
      </c>
      <c r="E93" s="110">
        <f t="shared" si="30"/>
        <v>45114.55473105111</v>
      </c>
      <c r="F93" s="143">
        <v>0</v>
      </c>
      <c r="G93" s="110">
        <v>0</v>
      </c>
      <c r="H93" s="110">
        <v>0</v>
      </c>
      <c r="I93" s="151">
        <f>5120.209-5120.209</f>
        <v>0</v>
      </c>
      <c r="J93" s="123">
        <v>5289.1758970000001</v>
      </c>
      <c r="K93" s="123">
        <f>(J87-K90)*104%</f>
        <v>5500.7429328799935</v>
      </c>
      <c r="L93" s="119">
        <f>(K87*6-L90)*104%</f>
        <v>34324.635901171117</v>
      </c>
      <c r="N93" s="134">
        <f t="shared" si="9"/>
        <v>-5120.2089999999998</v>
      </c>
      <c r="O93" s="127" t="s">
        <v>275</v>
      </c>
      <c r="P93" s="152">
        <v>5120.2089999999998</v>
      </c>
      <c r="R93" s="135"/>
    </row>
    <row r="94" spans="1:18" s="29" customFormat="1" x14ac:dyDescent="0.25">
      <c r="A94" s="470" t="s">
        <v>119</v>
      </c>
      <c r="B94" s="473" t="s">
        <v>186</v>
      </c>
      <c r="C94" s="524" t="s">
        <v>171</v>
      </c>
      <c r="D94" s="114" t="s">
        <v>12</v>
      </c>
      <c r="E94" s="115">
        <f t="shared" si="30"/>
        <v>2941671.5228572874</v>
      </c>
      <c r="F94" s="136">
        <f t="shared" ref="F94:H94" si="35">SUM(F95:F100)</f>
        <v>204445.37432000003</v>
      </c>
      <c r="G94" s="115">
        <f t="shared" si="35"/>
        <v>218568.31765000001</v>
      </c>
      <c r="H94" s="115">
        <f t="shared" si="35"/>
        <v>200993.15647000002</v>
      </c>
      <c r="I94" s="137">
        <f>SUM(I95:I100)</f>
        <v>248529.74334000002</v>
      </c>
      <c r="J94" s="117">
        <f t="shared" ref="J94:L94" si="36">SUM(J95:J100)</f>
        <v>248995.64749524</v>
      </c>
      <c r="K94" s="117">
        <f t="shared" si="36"/>
        <v>254824.1785462496</v>
      </c>
      <c r="L94" s="118">
        <f t="shared" si="36"/>
        <v>1565315.1050357977</v>
      </c>
      <c r="M94" s="148"/>
      <c r="N94" s="149">
        <f t="shared" si="9"/>
        <v>4125.1298400000087</v>
      </c>
      <c r="O94" s="148"/>
      <c r="P94" s="115">
        <f>SUM(P95:P100)</f>
        <v>244404.61350000001</v>
      </c>
      <c r="R94" s="90"/>
    </row>
    <row r="95" spans="1:18" x14ac:dyDescent="0.25">
      <c r="A95" s="471"/>
      <c r="B95" s="474"/>
      <c r="C95" s="525"/>
      <c r="D95" s="114" t="s">
        <v>13</v>
      </c>
      <c r="E95" s="115">
        <f t="shared" si="30"/>
        <v>0</v>
      </c>
      <c r="F95" s="136">
        <f>F102+F109+F116+F123</f>
        <v>0</v>
      </c>
      <c r="G95" s="115">
        <f t="shared" ref="G95:L95" si="37">G102+G109+G116+G123</f>
        <v>0</v>
      </c>
      <c r="H95" s="115">
        <f t="shared" si="37"/>
        <v>0</v>
      </c>
      <c r="I95" s="137">
        <f t="shared" si="37"/>
        <v>0</v>
      </c>
      <c r="J95" s="115">
        <f t="shared" si="37"/>
        <v>0</v>
      </c>
      <c r="K95" s="115">
        <f t="shared" si="37"/>
        <v>0</v>
      </c>
      <c r="L95" s="115">
        <f t="shared" si="37"/>
        <v>0</v>
      </c>
      <c r="M95" s="153"/>
      <c r="N95" s="149">
        <f t="shared" ref="N95:N158" si="38">I95-P95</f>
        <v>0</v>
      </c>
      <c r="O95" s="153"/>
      <c r="P95" s="115">
        <f t="shared" ref="P95:P100" si="39">P102+P109+P116+P123</f>
        <v>0</v>
      </c>
    </row>
    <row r="96" spans="1:18" x14ac:dyDescent="0.25">
      <c r="A96" s="471"/>
      <c r="B96" s="474"/>
      <c r="C96" s="525"/>
      <c r="D96" s="114" t="s">
        <v>14</v>
      </c>
      <c r="E96" s="115">
        <f t="shared" si="30"/>
        <v>1122.5</v>
      </c>
      <c r="F96" s="136">
        <f t="shared" ref="F96:L100" si="40">F103+F110+F117+F124</f>
        <v>330</v>
      </c>
      <c r="G96" s="115">
        <f t="shared" si="40"/>
        <v>143</v>
      </c>
      <c r="H96" s="115">
        <f t="shared" si="40"/>
        <v>0</v>
      </c>
      <c r="I96" s="137">
        <f>I103+I110+I117+I124</f>
        <v>649.5</v>
      </c>
      <c r="J96" s="115">
        <f t="shared" si="40"/>
        <v>0</v>
      </c>
      <c r="K96" s="115">
        <f t="shared" si="40"/>
        <v>0</v>
      </c>
      <c r="L96" s="115">
        <f t="shared" si="40"/>
        <v>0</v>
      </c>
      <c r="M96" s="153"/>
      <c r="N96" s="149">
        <f t="shared" si="38"/>
        <v>649.5</v>
      </c>
      <c r="O96" s="153"/>
      <c r="P96" s="115">
        <f t="shared" si="39"/>
        <v>0</v>
      </c>
    </row>
    <row r="97" spans="1:24" x14ac:dyDescent="0.25">
      <c r="A97" s="471"/>
      <c r="B97" s="474"/>
      <c r="C97" s="525"/>
      <c r="D97" s="114" t="s">
        <v>15</v>
      </c>
      <c r="E97" s="115">
        <f t="shared" si="30"/>
        <v>1664897.57577</v>
      </c>
      <c r="F97" s="136">
        <f t="shared" si="40"/>
        <v>204115.37432000003</v>
      </c>
      <c r="G97" s="115">
        <f t="shared" si="40"/>
        <v>218425.31765000001</v>
      </c>
      <c r="H97" s="115">
        <f t="shared" si="40"/>
        <v>200993.15647000002</v>
      </c>
      <c r="I97" s="137">
        <f t="shared" si="40"/>
        <v>213104.75757000002</v>
      </c>
      <c r="J97" s="115">
        <f t="shared" si="40"/>
        <v>105282.37122</v>
      </c>
      <c r="K97" s="115">
        <f t="shared" si="40"/>
        <v>103282.37122</v>
      </c>
      <c r="L97" s="115">
        <f t="shared" si="40"/>
        <v>619694.22731999995</v>
      </c>
      <c r="M97" s="153"/>
      <c r="N97" s="149">
        <f t="shared" si="38"/>
        <v>18256.330900000001</v>
      </c>
      <c r="O97" s="153"/>
      <c r="P97" s="115">
        <f t="shared" si="39"/>
        <v>194848.42667000002</v>
      </c>
    </row>
    <row r="98" spans="1:24" ht="30" x14ac:dyDescent="0.25">
      <c r="A98" s="471"/>
      <c r="B98" s="474"/>
      <c r="C98" s="525"/>
      <c r="D98" s="124" t="s">
        <v>91</v>
      </c>
      <c r="E98" s="115">
        <f t="shared" si="30"/>
        <v>0</v>
      </c>
      <c r="F98" s="115">
        <f t="shared" si="40"/>
        <v>0</v>
      </c>
      <c r="G98" s="115">
        <f t="shared" si="40"/>
        <v>0</v>
      </c>
      <c r="H98" s="115">
        <f t="shared" si="40"/>
        <v>0</v>
      </c>
      <c r="I98" s="137">
        <f t="shared" si="40"/>
        <v>0</v>
      </c>
      <c r="J98" s="115">
        <f t="shared" si="40"/>
        <v>0</v>
      </c>
      <c r="K98" s="115">
        <f t="shared" si="40"/>
        <v>0</v>
      </c>
      <c r="L98" s="115">
        <f t="shared" si="40"/>
        <v>0</v>
      </c>
      <c r="M98" s="153"/>
      <c r="N98" s="149">
        <f t="shared" si="38"/>
        <v>0</v>
      </c>
      <c r="O98" s="153"/>
      <c r="P98" s="115">
        <f t="shared" si="39"/>
        <v>0</v>
      </c>
    </row>
    <row r="99" spans="1:24" ht="18.75" customHeight="1" x14ac:dyDescent="0.25">
      <c r="A99" s="471"/>
      <c r="B99" s="474"/>
      <c r="C99" s="525"/>
      <c r="D99" s="124" t="s">
        <v>90</v>
      </c>
      <c r="E99" s="115">
        <f t="shared" si="30"/>
        <v>0</v>
      </c>
      <c r="F99" s="115">
        <f t="shared" si="40"/>
        <v>0</v>
      </c>
      <c r="G99" s="115">
        <f t="shared" si="40"/>
        <v>0</v>
      </c>
      <c r="H99" s="115">
        <f t="shared" si="40"/>
        <v>0</v>
      </c>
      <c r="I99" s="137">
        <f t="shared" si="40"/>
        <v>0</v>
      </c>
      <c r="J99" s="115">
        <f t="shared" si="40"/>
        <v>0</v>
      </c>
      <c r="K99" s="115">
        <f t="shared" si="40"/>
        <v>0</v>
      </c>
      <c r="L99" s="115">
        <f t="shared" si="40"/>
        <v>0</v>
      </c>
      <c r="M99" s="153"/>
      <c r="N99" s="149">
        <f t="shared" si="38"/>
        <v>0</v>
      </c>
      <c r="O99" s="153"/>
      <c r="P99" s="115">
        <f t="shared" si="39"/>
        <v>0</v>
      </c>
    </row>
    <row r="100" spans="1:24" ht="18.75" customHeight="1" x14ac:dyDescent="0.25">
      <c r="A100" s="471"/>
      <c r="B100" s="474"/>
      <c r="C100" s="526"/>
      <c r="D100" s="114" t="s">
        <v>18</v>
      </c>
      <c r="E100" s="115">
        <f t="shared" si="30"/>
        <v>1275651.4470872872</v>
      </c>
      <c r="F100" s="115">
        <f t="shared" si="40"/>
        <v>0</v>
      </c>
      <c r="G100" s="115">
        <f t="shared" si="40"/>
        <v>0</v>
      </c>
      <c r="H100" s="115">
        <f t="shared" si="40"/>
        <v>0</v>
      </c>
      <c r="I100" s="137">
        <f t="shared" si="40"/>
        <v>34775.485769999999</v>
      </c>
      <c r="J100" s="115">
        <f t="shared" si="40"/>
        <v>143713.27627524</v>
      </c>
      <c r="K100" s="115">
        <f t="shared" si="40"/>
        <v>151541.8073262496</v>
      </c>
      <c r="L100" s="115">
        <f t="shared" si="40"/>
        <v>945620.87771579763</v>
      </c>
      <c r="M100" s="153"/>
      <c r="N100" s="149">
        <f t="shared" si="38"/>
        <v>-14780.701059999999</v>
      </c>
      <c r="O100" s="153"/>
      <c r="P100" s="115">
        <f t="shared" si="39"/>
        <v>49556.186829999999</v>
      </c>
    </row>
    <row r="101" spans="1:24" s="29" customFormat="1" ht="19.5" customHeight="1" x14ac:dyDescent="0.25">
      <c r="A101" s="471"/>
      <c r="B101" s="474"/>
      <c r="C101" s="445" t="s">
        <v>196</v>
      </c>
      <c r="D101" s="106" t="s">
        <v>12</v>
      </c>
      <c r="E101" s="28">
        <f t="shared" si="30"/>
        <v>2582442.2802896365</v>
      </c>
      <c r="F101" s="71">
        <f t="shared" ref="F101:H101" si="41">SUM(F102:F107)</f>
        <v>202753.45003000004</v>
      </c>
      <c r="G101" s="28">
        <f t="shared" si="41"/>
        <v>215394.25069000002</v>
      </c>
      <c r="H101" s="28">
        <f t="shared" si="41"/>
        <v>172242.57086000001</v>
      </c>
      <c r="I101" s="130">
        <f>SUM(I102:I107)</f>
        <v>212824.0238</v>
      </c>
      <c r="J101" s="28">
        <f t="shared" ref="J101:L101" si="42">SUM(J102:J107)</f>
        <v>214298.63669444999</v>
      </c>
      <c r="K101" s="28">
        <f t="shared" si="42"/>
        <v>219195.83392662799</v>
      </c>
      <c r="L101" s="28">
        <f t="shared" si="42"/>
        <v>1345733.5142885586</v>
      </c>
      <c r="N101" s="46">
        <f t="shared" si="38"/>
        <v>2372.6162599999807</v>
      </c>
      <c r="P101" s="28">
        <f>SUM(P102:P107)</f>
        <v>210451.40754000001</v>
      </c>
      <c r="Q101" s="98" t="s">
        <v>243</v>
      </c>
      <c r="R101" s="97">
        <v>6039.0475800000004</v>
      </c>
      <c r="S101" s="50" t="s">
        <v>252</v>
      </c>
      <c r="T101" s="50"/>
      <c r="U101" s="21"/>
    </row>
    <row r="102" spans="1:24" x14ac:dyDescent="0.25">
      <c r="A102" s="471"/>
      <c r="B102" s="474"/>
      <c r="C102" s="446"/>
      <c r="D102" s="106" t="s">
        <v>13</v>
      </c>
      <c r="E102" s="28">
        <f t="shared" si="30"/>
        <v>0</v>
      </c>
      <c r="F102" s="74">
        <v>0</v>
      </c>
      <c r="G102" s="33">
        <v>0</v>
      </c>
      <c r="H102" s="33">
        <v>0</v>
      </c>
      <c r="I102" s="130">
        <v>0</v>
      </c>
      <c r="J102" s="33">
        <v>0</v>
      </c>
      <c r="K102" s="33">
        <v>0</v>
      </c>
      <c r="L102" s="33">
        <v>0</v>
      </c>
      <c r="N102" s="46">
        <f t="shared" si="38"/>
        <v>0</v>
      </c>
      <c r="P102" s="33">
        <v>0</v>
      </c>
      <c r="Q102" s="94" t="s">
        <v>253</v>
      </c>
      <c r="R102" s="93">
        <v>-4786.5339999999997</v>
      </c>
      <c r="S102" s="94" t="s">
        <v>254</v>
      </c>
      <c r="T102" s="94"/>
      <c r="U102" s="94" t="s">
        <v>255</v>
      </c>
      <c r="V102" s="94"/>
      <c r="W102" s="94"/>
      <c r="X102" s="94"/>
    </row>
    <row r="103" spans="1:24" x14ac:dyDescent="0.25">
      <c r="A103" s="471"/>
      <c r="B103" s="474"/>
      <c r="C103" s="446"/>
      <c r="D103" s="106" t="s">
        <v>14</v>
      </c>
      <c r="E103" s="28">
        <f t="shared" si="30"/>
        <v>622.5</v>
      </c>
      <c r="F103" s="74">
        <v>330</v>
      </c>
      <c r="G103" s="33">
        <v>143</v>
      </c>
      <c r="H103" s="33">
        <v>0</v>
      </c>
      <c r="I103" s="138">
        <v>149.5</v>
      </c>
      <c r="J103" s="33">
        <v>0</v>
      </c>
      <c r="K103" s="33">
        <v>0</v>
      </c>
      <c r="L103" s="33">
        <v>0</v>
      </c>
      <c r="N103" s="46">
        <f t="shared" si="38"/>
        <v>149.5</v>
      </c>
      <c r="O103" s="21" t="s">
        <v>233</v>
      </c>
      <c r="P103" s="33">
        <v>0</v>
      </c>
      <c r="Q103" s="95" t="s">
        <v>241</v>
      </c>
      <c r="R103" s="96">
        <v>149.5</v>
      </c>
      <c r="S103" s="95" t="s">
        <v>248</v>
      </c>
    </row>
    <row r="104" spans="1:24" x14ac:dyDescent="0.25">
      <c r="A104" s="471"/>
      <c r="B104" s="474"/>
      <c r="C104" s="446"/>
      <c r="D104" s="106" t="s">
        <v>15</v>
      </c>
      <c r="E104" s="28">
        <f t="shared" si="30"/>
        <v>1508053.7815</v>
      </c>
      <c r="F104" s="74">
        <f>204952.31703-148.67617-3.8-9152.8+152.47617+183.433+5000+145+674+501.4-362-500+122.1+860</f>
        <v>202423.45003000004</v>
      </c>
      <c r="G104" s="33">
        <f>218825.83488-2000-350-2867-556.03419-636.55+2835</f>
        <v>215251.25069000002</v>
      </c>
      <c r="H104" s="17">
        <f>198548.70409-26306.13323</f>
        <v>172242.57086000001</v>
      </c>
      <c r="I104" s="154">
        <f>165188.56231+11211.76649+4786.534</f>
        <v>181186.8628</v>
      </c>
      <c r="J104" s="64">
        <f>102540.17122-8671.46533</f>
        <v>93868.705889999997</v>
      </c>
      <c r="K104" s="33">
        <f>100540.17122-8671.46533</f>
        <v>91868.705889999997</v>
      </c>
      <c r="L104" s="33">
        <f>K104*6</f>
        <v>551212.23534000001</v>
      </c>
      <c r="N104" s="46">
        <f t="shared" si="38"/>
        <v>15998.300489999994</v>
      </c>
      <c r="O104" s="21" t="s">
        <v>251</v>
      </c>
      <c r="P104" s="17">
        <f>191943.60167+162.625-26917.66436</f>
        <v>165188.56231000001</v>
      </c>
      <c r="Q104" s="21" t="s">
        <v>240</v>
      </c>
      <c r="R104" s="88">
        <v>4286.6293699999997</v>
      </c>
      <c r="S104" s="21" t="s">
        <v>249</v>
      </c>
    </row>
    <row r="105" spans="1:24" ht="27.75" customHeight="1" x14ac:dyDescent="0.25">
      <c r="A105" s="471"/>
      <c r="B105" s="474"/>
      <c r="C105" s="446"/>
      <c r="D105" s="105" t="s">
        <v>91</v>
      </c>
      <c r="E105" s="28">
        <f t="shared" si="30"/>
        <v>0</v>
      </c>
      <c r="F105" s="33">
        <v>0</v>
      </c>
      <c r="G105" s="33">
        <v>0</v>
      </c>
      <c r="H105" s="33">
        <v>0</v>
      </c>
      <c r="I105" s="142">
        <v>0</v>
      </c>
      <c r="J105" s="33">
        <v>0</v>
      </c>
      <c r="K105" s="33">
        <v>0</v>
      </c>
      <c r="L105" s="33">
        <v>0</v>
      </c>
      <c r="N105" s="46">
        <f t="shared" si="38"/>
        <v>0</v>
      </c>
      <c r="P105" s="63">
        <v>0</v>
      </c>
      <c r="Q105" s="87" t="s">
        <v>242</v>
      </c>
      <c r="R105" s="91">
        <v>1925.1371200000001</v>
      </c>
      <c r="S105" s="87" t="s">
        <v>250</v>
      </c>
    </row>
    <row r="106" spans="1:24" x14ac:dyDescent="0.25">
      <c r="A106" s="471"/>
      <c r="B106" s="474"/>
      <c r="C106" s="446"/>
      <c r="D106" s="105" t="s">
        <v>90</v>
      </c>
      <c r="E106" s="28">
        <f t="shared" si="30"/>
        <v>0</v>
      </c>
      <c r="F106" s="33">
        <v>0</v>
      </c>
      <c r="G106" s="33">
        <v>0</v>
      </c>
      <c r="H106" s="33">
        <v>0</v>
      </c>
      <c r="I106" s="130">
        <v>0</v>
      </c>
      <c r="J106" s="33">
        <v>0</v>
      </c>
      <c r="K106" s="33">
        <v>0</v>
      </c>
      <c r="L106" s="33">
        <v>0</v>
      </c>
      <c r="N106" s="46">
        <f t="shared" si="38"/>
        <v>0</v>
      </c>
      <c r="P106" s="33">
        <v>0</v>
      </c>
      <c r="Q106" s="98" t="s">
        <v>245</v>
      </c>
      <c r="R106" s="99">
        <v>-1252.51358</v>
      </c>
      <c r="S106" s="98" t="s">
        <v>244</v>
      </c>
      <c r="T106" s="98"/>
    </row>
    <row r="107" spans="1:24" s="127" customFormat="1" ht="21" customHeight="1" thickBot="1" x14ac:dyDescent="0.3">
      <c r="A107" s="471"/>
      <c r="B107" s="474"/>
      <c r="C107" s="447"/>
      <c r="D107" s="109" t="s">
        <v>18</v>
      </c>
      <c r="E107" s="110">
        <f t="shared" si="30"/>
        <v>1073765.9987896367</v>
      </c>
      <c r="F107" s="111">
        <v>0</v>
      </c>
      <c r="G107" s="111">
        <v>0</v>
      </c>
      <c r="H107" s="111">
        <v>0</v>
      </c>
      <c r="I107" s="155">
        <v>31487.661</v>
      </c>
      <c r="J107" s="156">
        <v>120429.93080445001</v>
      </c>
      <c r="K107" s="123">
        <v>127327.128036628</v>
      </c>
      <c r="L107" s="126">
        <f>(K101*6-L104)*104%</f>
        <v>794521.27894855873</v>
      </c>
      <c r="N107" s="134">
        <f t="shared" si="38"/>
        <v>-13775.184229999999</v>
      </c>
      <c r="O107" s="157"/>
      <c r="P107" s="123">
        <f>49556.18683-4293.3416</f>
        <v>45262.845229999999</v>
      </c>
      <c r="Q107" s="127" t="s">
        <v>247</v>
      </c>
      <c r="R107" s="135">
        <v>5000</v>
      </c>
      <c r="S107" s="127" t="s">
        <v>246</v>
      </c>
    </row>
    <row r="108" spans="1:24" ht="21" customHeight="1" thickBot="1" x14ac:dyDescent="0.3">
      <c r="A108" s="471"/>
      <c r="B108" s="474"/>
      <c r="C108" s="479" t="s">
        <v>197</v>
      </c>
      <c r="D108" s="106" t="s">
        <v>12</v>
      </c>
      <c r="E108" s="28">
        <f t="shared" si="30"/>
        <v>325486.48535765044</v>
      </c>
      <c r="F108" s="33">
        <f t="shared" ref="F108:H108" si="43">SUM(F109:F114)</f>
        <v>0</v>
      </c>
      <c r="G108" s="33">
        <f t="shared" si="43"/>
        <v>0</v>
      </c>
      <c r="H108" s="33">
        <f t="shared" si="43"/>
        <v>26306.133229999999</v>
      </c>
      <c r="I108" s="130">
        <f>SUM(I109:I114)</f>
        <v>31211.005959999999</v>
      </c>
      <c r="J108" s="33">
        <f t="shared" ref="J108:L108" si="44">SUM(J109:J114)</f>
        <v>31954.810800790001</v>
      </c>
      <c r="K108" s="33">
        <f t="shared" si="44"/>
        <v>32886.144619621606</v>
      </c>
      <c r="L108" s="33">
        <f t="shared" si="44"/>
        <v>203128.39074723885</v>
      </c>
      <c r="N108" s="46">
        <f t="shared" si="38"/>
        <v>0</v>
      </c>
      <c r="P108" s="33">
        <f>SUM(P109:P114)</f>
        <v>31211.005959999999</v>
      </c>
      <c r="R108" s="100">
        <f>R101+R104+R105+R106+R107</f>
        <v>15998.30049</v>
      </c>
    </row>
    <row r="109" spans="1:24" ht="21" customHeight="1" x14ac:dyDescent="0.25">
      <c r="A109" s="471"/>
      <c r="B109" s="474"/>
      <c r="C109" s="480"/>
      <c r="D109" s="106" t="s">
        <v>13</v>
      </c>
      <c r="E109" s="28">
        <f t="shared" si="30"/>
        <v>0</v>
      </c>
      <c r="F109" s="33"/>
      <c r="G109" s="33"/>
      <c r="H109" s="33"/>
      <c r="I109" s="158"/>
      <c r="J109" s="32"/>
      <c r="K109" s="31"/>
      <c r="L109" s="64"/>
      <c r="N109" s="46">
        <f t="shared" si="38"/>
        <v>0</v>
      </c>
      <c r="P109" s="31"/>
    </row>
    <row r="110" spans="1:24" ht="21" customHeight="1" x14ac:dyDescent="0.25">
      <c r="A110" s="471"/>
      <c r="B110" s="474"/>
      <c r="C110" s="480"/>
      <c r="D110" s="106" t="s">
        <v>14</v>
      </c>
      <c r="E110" s="28">
        <f t="shared" si="30"/>
        <v>0</v>
      </c>
      <c r="F110" s="33"/>
      <c r="G110" s="33"/>
      <c r="H110" s="33"/>
      <c r="I110" s="158"/>
      <c r="J110" s="32"/>
      <c r="K110" s="31"/>
      <c r="L110" s="64"/>
      <c r="N110" s="46">
        <f t="shared" si="38"/>
        <v>0</v>
      </c>
      <c r="P110" s="31"/>
    </row>
    <row r="111" spans="1:24" ht="21" customHeight="1" x14ac:dyDescent="0.25">
      <c r="A111" s="471"/>
      <c r="B111" s="474"/>
      <c r="C111" s="480"/>
      <c r="D111" s="106" t="s">
        <v>15</v>
      </c>
      <c r="E111" s="28">
        <f t="shared" si="30"/>
        <v>123601.03706</v>
      </c>
      <c r="F111" s="33"/>
      <c r="G111" s="33"/>
      <c r="H111" s="33">
        <v>26306.133229999999</v>
      </c>
      <c r="I111" s="159">
        <f>26917.66436+1005.51683</f>
        <v>27923.181189999999</v>
      </c>
      <c r="J111" s="32">
        <v>8671.4653300000009</v>
      </c>
      <c r="K111" s="31">
        <v>8671.4653300000009</v>
      </c>
      <c r="L111" s="64">
        <f>K111*6</f>
        <v>52028.791980000009</v>
      </c>
      <c r="N111" s="46">
        <f t="shared" si="38"/>
        <v>1005.5168300000005</v>
      </c>
      <c r="O111" s="21" t="s">
        <v>257</v>
      </c>
      <c r="P111" s="31">
        <v>26917.664359999999</v>
      </c>
      <c r="Q111" s="21" t="s">
        <v>256</v>
      </c>
      <c r="R111" s="88">
        <v>1005.51683</v>
      </c>
      <c r="S111" s="21" t="s">
        <v>239</v>
      </c>
    </row>
    <row r="112" spans="1:24" ht="21" customHeight="1" x14ac:dyDescent="0.25">
      <c r="A112" s="471"/>
      <c r="B112" s="474"/>
      <c r="C112" s="480"/>
      <c r="D112" s="105" t="s">
        <v>91</v>
      </c>
      <c r="E112" s="28">
        <f t="shared" si="30"/>
        <v>0</v>
      </c>
      <c r="F112" s="33"/>
      <c r="G112" s="33"/>
      <c r="H112" s="33"/>
      <c r="I112" s="158"/>
      <c r="J112" s="32"/>
      <c r="K112" s="31"/>
      <c r="L112" s="64"/>
      <c r="N112" s="46">
        <f t="shared" si="38"/>
        <v>0</v>
      </c>
      <c r="P112" s="31"/>
    </row>
    <row r="113" spans="1:18" x14ac:dyDescent="0.25">
      <c r="A113" s="471"/>
      <c r="B113" s="474"/>
      <c r="C113" s="480"/>
      <c r="D113" s="105" t="s">
        <v>90</v>
      </c>
      <c r="E113" s="28">
        <f t="shared" si="30"/>
        <v>0</v>
      </c>
      <c r="F113" s="33"/>
      <c r="G113" s="33"/>
      <c r="H113" s="33"/>
      <c r="I113" s="158"/>
      <c r="J113" s="32"/>
      <c r="K113" s="31"/>
      <c r="L113" s="64"/>
      <c r="N113" s="46">
        <f t="shared" si="38"/>
        <v>0</v>
      </c>
      <c r="P113" s="31"/>
    </row>
    <row r="114" spans="1:18" s="127" customFormat="1" x14ac:dyDescent="0.25">
      <c r="A114" s="471"/>
      <c r="B114" s="474"/>
      <c r="C114" s="481"/>
      <c r="D114" s="109" t="s">
        <v>18</v>
      </c>
      <c r="E114" s="110">
        <f t="shared" si="30"/>
        <v>201885.44829765044</v>
      </c>
      <c r="F114" s="111"/>
      <c r="G114" s="111"/>
      <c r="H114" s="111"/>
      <c r="I114" s="160">
        <f>4293.3416-1005.51683</f>
        <v>3287.8247699999997</v>
      </c>
      <c r="J114" s="161">
        <v>23283.345470789998</v>
      </c>
      <c r="K114" s="161">
        <f>(J108-K111)*104%</f>
        <v>24214.679289621603</v>
      </c>
      <c r="L114" s="126">
        <f>(K108*6-L111)*104%</f>
        <v>151099.59876723884</v>
      </c>
      <c r="N114" s="134">
        <f t="shared" si="38"/>
        <v>-1005.51683</v>
      </c>
      <c r="O114" s="162" t="s">
        <v>275</v>
      </c>
      <c r="P114" s="163">
        <v>4293.3415999999997</v>
      </c>
      <c r="R114" s="135"/>
    </row>
    <row r="115" spans="1:18" s="29" customFormat="1" x14ac:dyDescent="0.25">
      <c r="A115" s="471"/>
      <c r="B115" s="474"/>
      <c r="C115" s="445" t="s">
        <v>142</v>
      </c>
      <c r="D115" s="106" t="s">
        <v>12</v>
      </c>
      <c r="E115" s="28">
        <f t="shared" si="30"/>
        <v>29238.943629999998</v>
      </c>
      <c r="F115" s="71">
        <f t="shared" ref="F115:H115" si="45">SUM(F116:F121)</f>
        <v>1691.9242900000002</v>
      </c>
      <c r="G115" s="28">
        <f t="shared" si="45"/>
        <v>1872.46696</v>
      </c>
      <c r="H115" s="28">
        <f t="shared" si="45"/>
        <v>994.7523799999999</v>
      </c>
      <c r="I115" s="142">
        <f>SUM(I116:I121)</f>
        <v>2742.2</v>
      </c>
      <c r="J115" s="34">
        <f t="shared" ref="J115:L115" si="46">SUM(J116:J121)</f>
        <v>2742.2</v>
      </c>
      <c r="K115" s="34">
        <f t="shared" si="46"/>
        <v>2742.2</v>
      </c>
      <c r="L115" s="28">
        <f t="shared" si="46"/>
        <v>16453.199999999997</v>
      </c>
      <c r="N115" s="46">
        <f t="shared" si="38"/>
        <v>0</v>
      </c>
      <c r="P115" s="34">
        <f>SUM(P116:P121)</f>
        <v>2742.2</v>
      </c>
      <c r="R115" s="90"/>
    </row>
    <row r="116" spans="1:18" x14ac:dyDescent="0.25">
      <c r="A116" s="471"/>
      <c r="B116" s="474"/>
      <c r="C116" s="446"/>
      <c r="D116" s="106" t="s">
        <v>13</v>
      </c>
      <c r="E116" s="28">
        <f t="shared" si="30"/>
        <v>0</v>
      </c>
      <c r="F116" s="71">
        <v>0</v>
      </c>
      <c r="G116" s="28">
        <v>0</v>
      </c>
      <c r="H116" s="28">
        <v>0</v>
      </c>
      <c r="I116" s="130">
        <v>0</v>
      </c>
      <c r="J116" s="28">
        <v>0</v>
      </c>
      <c r="K116" s="28">
        <v>0</v>
      </c>
      <c r="L116" s="28">
        <v>0</v>
      </c>
      <c r="N116" s="46">
        <f t="shared" si="38"/>
        <v>0</v>
      </c>
      <c r="P116" s="28">
        <v>0</v>
      </c>
    </row>
    <row r="117" spans="1:18" x14ac:dyDescent="0.25">
      <c r="A117" s="471"/>
      <c r="B117" s="474"/>
      <c r="C117" s="446"/>
      <c r="D117" s="106" t="s">
        <v>14</v>
      </c>
      <c r="E117" s="28">
        <f t="shared" si="30"/>
        <v>0</v>
      </c>
      <c r="F117" s="71">
        <v>0</v>
      </c>
      <c r="G117" s="28">
        <v>0</v>
      </c>
      <c r="H117" s="28">
        <v>0</v>
      </c>
      <c r="I117" s="130">
        <v>0</v>
      </c>
      <c r="J117" s="28">
        <v>0</v>
      </c>
      <c r="K117" s="28">
        <v>0</v>
      </c>
      <c r="L117" s="28">
        <v>0</v>
      </c>
      <c r="N117" s="46">
        <f t="shared" si="38"/>
        <v>0</v>
      </c>
      <c r="P117" s="28">
        <v>0</v>
      </c>
    </row>
    <row r="118" spans="1:18" x14ac:dyDescent="0.25">
      <c r="A118" s="471"/>
      <c r="B118" s="474"/>
      <c r="C118" s="446"/>
      <c r="D118" s="106" t="s">
        <v>15</v>
      </c>
      <c r="E118" s="28">
        <f t="shared" si="30"/>
        <v>29238.943629999998</v>
      </c>
      <c r="F118" s="71">
        <f>1864.65-172.72571</f>
        <v>1691.9242900000002</v>
      </c>
      <c r="G118" s="28">
        <f>2128.76667-256.29971</f>
        <v>1872.46696</v>
      </c>
      <c r="H118" s="28">
        <f>1025.87106-31.11868</f>
        <v>994.7523799999999</v>
      </c>
      <c r="I118" s="130">
        <v>2742.2</v>
      </c>
      <c r="J118" s="28">
        <v>2742.2</v>
      </c>
      <c r="K118" s="28">
        <v>2742.2</v>
      </c>
      <c r="L118" s="28">
        <f>K118*6</f>
        <v>16453.199999999997</v>
      </c>
      <c r="N118" s="46">
        <f t="shared" si="38"/>
        <v>0</v>
      </c>
      <c r="P118" s="28">
        <v>2742.2</v>
      </c>
    </row>
    <row r="119" spans="1:18" ht="30" x14ac:dyDescent="0.25">
      <c r="A119" s="471"/>
      <c r="B119" s="474"/>
      <c r="C119" s="446"/>
      <c r="D119" s="105" t="s">
        <v>91</v>
      </c>
      <c r="E119" s="28">
        <f t="shared" si="30"/>
        <v>0</v>
      </c>
      <c r="F119" s="28">
        <v>0</v>
      </c>
      <c r="G119" s="28">
        <v>0</v>
      </c>
      <c r="H119" s="28">
        <v>0</v>
      </c>
      <c r="I119" s="130">
        <v>0</v>
      </c>
      <c r="J119" s="28">
        <v>0</v>
      </c>
      <c r="K119" s="28">
        <v>0</v>
      </c>
      <c r="L119" s="28">
        <v>0</v>
      </c>
      <c r="N119" s="46">
        <f t="shared" si="38"/>
        <v>0</v>
      </c>
      <c r="P119" s="28">
        <v>0</v>
      </c>
    </row>
    <row r="120" spans="1:18" x14ac:dyDescent="0.25">
      <c r="A120" s="471"/>
      <c r="B120" s="474"/>
      <c r="C120" s="446"/>
      <c r="D120" s="105" t="s">
        <v>90</v>
      </c>
      <c r="E120" s="28">
        <f t="shared" si="30"/>
        <v>0</v>
      </c>
      <c r="F120" s="28">
        <v>0</v>
      </c>
      <c r="G120" s="28">
        <v>0</v>
      </c>
      <c r="H120" s="28">
        <v>0</v>
      </c>
      <c r="I120" s="130">
        <v>0</v>
      </c>
      <c r="J120" s="28">
        <v>0</v>
      </c>
      <c r="K120" s="28">
        <v>0</v>
      </c>
      <c r="L120" s="28">
        <v>0</v>
      </c>
      <c r="N120" s="46">
        <f t="shared" si="38"/>
        <v>0</v>
      </c>
      <c r="P120" s="28">
        <v>0</v>
      </c>
    </row>
    <row r="121" spans="1:18" s="127" customFormat="1" x14ac:dyDescent="0.25">
      <c r="A121" s="471"/>
      <c r="B121" s="474"/>
      <c r="C121" s="447"/>
      <c r="D121" s="109" t="s">
        <v>18</v>
      </c>
      <c r="E121" s="110">
        <f t="shared" si="30"/>
        <v>0</v>
      </c>
      <c r="F121" s="110">
        <v>0</v>
      </c>
      <c r="G121" s="110">
        <v>0</v>
      </c>
      <c r="H121" s="110">
        <v>0</v>
      </c>
      <c r="I121" s="133">
        <v>0</v>
      </c>
      <c r="J121" s="110">
        <v>0</v>
      </c>
      <c r="K121" s="110">
        <v>0</v>
      </c>
      <c r="L121" s="110">
        <v>0</v>
      </c>
      <c r="N121" s="134">
        <f t="shared" si="38"/>
        <v>0</v>
      </c>
      <c r="P121" s="110">
        <v>0</v>
      </c>
      <c r="R121" s="135"/>
    </row>
    <row r="122" spans="1:18" s="29" customFormat="1" x14ac:dyDescent="0.25">
      <c r="A122" s="471"/>
      <c r="B122" s="474"/>
      <c r="C122" s="457" t="s">
        <v>143</v>
      </c>
      <c r="D122" s="106" t="s">
        <v>12</v>
      </c>
      <c r="E122" s="28">
        <f t="shared" ref="E122:E128" si="47">SUM(F122:L122)</f>
        <v>4503.81358</v>
      </c>
      <c r="F122" s="28">
        <f t="shared" ref="F122:H122" si="48">SUM(F123:F128)</f>
        <v>0</v>
      </c>
      <c r="G122" s="28">
        <f t="shared" si="48"/>
        <v>1301.5999999999999</v>
      </c>
      <c r="H122" s="28">
        <f t="shared" si="48"/>
        <v>1449.7</v>
      </c>
      <c r="I122" s="130">
        <f>SUM(I123:I128)</f>
        <v>1752.51358</v>
      </c>
      <c r="J122" s="28">
        <f t="shared" ref="J122:L122" si="49">SUM(J123:J128)</f>
        <v>0</v>
      </c>
      <c r="K122" s="28">
        <f t="shared" si="49"/>
        <v>0</v>
      </c>
      <c r="L122" s="28">
        <f t="shared" si="49"/>
        <v>0</v>
      </c>
      <c r="N122" s="46">
        <f t="shared" si="38"/>
        <v>1752.51358</v>
      </c>
      <c r="P122" s="28">
        <f>SUM(P123:P128)</f>
        <v>0</v>
      </c>
      <c r="R122" s="90"/>
    </row>
    <row r="123" spans="1:18" x14ac:dyDescent="0.25">
      <c r="A123" s="471"/>
      <c r="B123" s="474"/>
      <c r="C123" s="457"/>
      <c r="D123" s="106" t="s">
        <v>13</v>
      </c>
      <c r="E123" s="28">
        <f t="shared" si="47"/>
        <v>0</v>
      </c>
      <c r="F123" s="28">
        <v>0</v>
      </c>
      <c r="G123" s="28">
        <v>0</v>
      </c>
      <c r="H123" s="28">
        <v>0</v>
      </c>
      <c r="I123" s="130">
        <v>0</v>
      </c>
      <c r="J123" s="28">
        <v>0</v>
      </c>
      <c r="K123" s="28">
        <v>0</v>
      </c>
      <c r="L123" s="28">
        <v>0</v>
      </c>
      <c r="N123" s="46">
        <f t="shared" si="38"/>
        <v>0</v>
      </c>
      <c r="P123" s="28">
        <v>0</v>
      </c>
    </row>
    <row r="124" spans="1:18" x14ac:dyDescent="0.25">
      <c r="A124" s="471"/>
      <c r="B124" s="474"/>
      <c r="C124" s="457"/>
      <c r="D124" s="106" t="s">
        <v>14</v>
      </c>
      <c r="E124" s="28">
        <f t="shared" si="47"/>
        <v>500</v>
      </c>
      <c r="F124" s="28">
        <v>0</v>
      </c>
      <c r="G124" s="28">
        <v>0</v>
      </c>
      <c r="H124" s="28">
        <v>0</v>
      </c>
      <c r="I124" s="138">
        <v>500</v>
      </c>
      <c r="J124" s="27">
        <v>0</v>
      </c>
      <c r="K124" s="27">
        <v>0</v>
      </c>
      <c r="L124" s="27">
        <v>0</v>
      </c>
      <c r="N124" s="46">
        <f t="shared" si="38"/>
        <v>500</v>
      </c>
      <c r="O124" s="21" t="s">
        <v>233</v>
      </c>
      <c r="P124" s="27">
        <v>0</v>
      </c>
      <c r="Q124" s="21" t="s">
        <v>269</v>
      </c>
      <c r="R124" s="88">
        <v>500</v>
      </c>
    </row>
    <row r="125" spans="1:18" x14ac:dyDescent="0.25">
      <c r="A125" s="471"/>
      <c r="B125" s="474"/>
      <c r="C125" s="457"/>
      <c r="D125" s="106" t="s">
        <v>15</v>
      </c>
      <c r="E125" s="28">
        <f t="shared" si="47"/>
        <v>4003.81358</v>
      </c>
      <c r="F125" s="28">
        <v>0</v>
      </c>
      <c r="G125" s="28">
        <v>1301.5999999999999</v>
      </c>
      <c r="H125" s="28">
        <v>1449.7</v>
      </c>
      <c r="I125" s="138">
        <v>1252.51358</v>
      </c>
      <c r="J125" s="28"/>
      <c r="K125" s="28"/>
      <c r="L125" s="27">
        <v>0</v>
      </c>
      <c r="N125" s="46">
        <f t="shared" si="38"/>
        <v>1252.51358</v>
      </c>
      <c r="O125" s="21" t="s">
        <v>270</v>
      </c>
      <c r="P125" s="28"/>
      <c r="Q125" s="21" t="s">
        <v>269</v>
      </c>
      <c r="R125" s="88">
        <v>1252.51358</v>
      </c>
    </row>
    <row r="126" spans="1:18" ht="30" x14ac:dyDescent="0.25">
      <c r="A126" s="471"/>
      <c r="B126" s="474"/>
      <c r="C126" s="457"/>
      <c r="D126" s="105" t="s">
        <v>91</v>
      </c>
      <c r="E126" s="28">
        <f t="shared" si="47"/>
        <v>0</v>
      </c>
      <c r="F126" s="28">
        <v>0</v>
      </c>
      <c r="G126" s="28">
        <v>0</v>
      </c>
      <c r="H126" s="28">
        <v>0</v>
      </c>
      <c r="I126" s="132">
        <v>0</v>
      </c>
      <c r="J126" s="27">
        <v>0</v>
      </c>
      <c r="K126" s="27">
        <v>0</v>
      </c>
      <c r="L126" s="27">
        <v>0</v>
      </c>
      <c r="N126" s="46">
        <f t="shared" si="38"/>
        <v>0</v>
      </c>
      <c r="P126" s="27">
        <v>0</v>
      </c>
    </row>
    <row r="127" spans="1:18" x14ac:dyDescent="0.25">
      <c r="A127" s="471"/>
      <c r="B127" s="474"/>
      <c r="C127" s="457"/>
      <c r="D127" s="105" t="s">
        <v>90</v>
      </c>
      <c r="E127" s="28">
        <f t="shared" si="47"/>
        <v>0</v>
      </c>
      <c r="F127" s="28">
        <v>0</v>
      </c>
      <c r="G127" s="28">
        <v>0</v>
      </c>
      <c r="H127" s="28">
        <v>0</v>
      </c>
      <c r="I127" s="132">
        <v>0</v>
      </c>
      <c r="J127" s="27">
        <v>0</v>
      </c>
      <c r="K127" s="27">
        <v>0</v>
      </c>
      <c r="L127" s="27">
        <v>0</v>
      </c>
      <c r="N127" s="46">
        <f t="shared" si="38"/>
        <v>0</v>
      </c>
      <c r="P127" s="27">
        <v>0</v>
      </c>
    </row>
    <row r="128" spans="1:18" s="127" customFormat="1" x14ac:dyDescent="0.25">
      <c r="A128" s="472"/>
      <c r="B128" s="475"/>
      <c r="C128" s="457"/>
      <c r="D128" s="109" t="s">
        <v>18</v>
      </c>
      <c r="E128" s="110">
        <f t="shared" si="47"/>
        <v>0</v>
      </c>
      <c r="F128" s="110">
        <v>0</v>
      </c>
      <c r="G128" s="110">
        <v>0</v>
      </c>
      <c r="H128" s="110">
        <v>0</v>
      </c>
      <c r="I128" s="164">
        <v>0</v>
      </c>
      <c r="J128" s="112">
        <v>0</v>
      </c>
      <c r="K128" s="112">
        <v>0</v>
      </c>
      <c r="L128" s="112">
        <v>0</v>
      </c>
      <c r="N128" s="134">
        <f t="shared" si="38"/>
        <v>0</v>
      </c>
      <c r="P128" s="112">
        <v>0</v>
      </c>
      <c r="R128" s="135"/>
    </row>
    <row r="129" spans="1:18" x14ac:dyDescent="0.25">
      <c r="A129" s="448" t="s">
        <v>121</v>
      </c>
      <c r="B129" s="482" t="s">
        <v>161</v>
      </c>
      <c r="C129" s="457" t="s">
        <v>8</v>
      </c>
      <c r="D129" s="106" t="s">
        <v>12</v>
      </c>
      <c r="E129" s="28">
        <f t="shared" si="30"/>
        <v>30305.620798399999</v>
      </c>
      <c r="F129" s="71">
        <f t="shared" ref="F129:H129" si="50">SUM(F130:F135)</f>
        <v>1170</v>
      </c>
      <c r="G129" s="28">
        <f t="shared" si="50"/>
        <v>1840</v>
      </c>
      <c r="H129" s="28">
        <f t="shared" si="50"/>
        <v>1837</v>
      </c>
      <c r="I129" s="130">
        <f>SUM(I130:I135)</f>
        <v>1837</v>
      </c>
      <c r="J129" s="28">
        <f t="shared" ref="J129:L129" si="51">SUM(J130:J135)</f>
        <v>2883.4290000000001</v>
      </c>
      <c r="K129" s="28">
        <f t="shared" si="51"/>
        <v>2925.2861599999997</v>
      </c>
      <c r="L129" s="28">
        <f t="shared" si="51"/>
        <v>17812.9056384</v>
      </c>
      <c r="N129" s="46">
        <f t="shared" si="38"/>
        <v>-1013</v>
      </c>
      <c r="P129" s="28">
        <f>SUM(P130:P135)</f>
        <v>2850</v>
      </c>
    </row>
    <row r="130" spans="1:18" x14ac:dyDescent="0.25">
      <c r="A130" s="449"/>
      <c r="B130" s="483"/>
      <c r="C130" s="457"/>
      <c r="D130" s="106" t="s">
        <v>13</v>
      </c>
      <c r="E130" s="28">
        <f t="shared" si="30"/>
        <v>0</v>
      </c>
      <c r="F130" s="71">
        <v>0</v>
      </c>
      <c r="G130" s="28">
        <v>0</v>
      </c>
      <c r="H130" s="28">
        <v>0</v>
      </c>
      <c r="I130" s="130">
        <v>0</v>
      </c>
      <c r="J130" s="28">
        <v>0</v>
      </c>
      <c r="K130" s="28">
        <v>0</v>
      </c>
      <c r="L130" s="28">
        <v>0</v>
      </c>
      <c r="N130" s="46">
        <f t="shared" si="38"/>
        <v>0</v>
      </c>
      <c r="P130" s="28">
        <v>0</v>
      </c>
    </row>
    <row r="131" spans="1:18" x14ac:dyDescent="0.25">
      <c r="A131" s="449"/>
      <c r="B131" s="483"/>
      <c r="C131" s="457"/>
      <c r="D131" s="106" t="s">
        <v>14</v>
      </c>
      <c r="E131" s="28">
        <f t="shared" si="30"/>
        <v>0</v>
      </c>
      <c r="F131" s="71">
        <v>0</v>
      </c>
      <c r="G131" s="28">
        <v>0</v>
      </c>
      <c r="H131" s="28">
        <v>0</v>
      </c>
      <c r="I131" s="130">
        <v>0</v>
      </c>
      <c r="J131" s="28">
        <v>0</v>
      </c>
      <c r="K131" s="28">
        <v>0</v>
      </c>
      <c r="L131" s="28">
        <v>0</v>
      </c>
      <c r="N131" s="46">
        <f t="shared" si="38"/>
        <v>0</v>
      </c>
      <c r="P131" s="28">
        <v>0</v>
      </c>
    </row>
    <row r="132" spans="1:18" x14ac:dyDescent="0.25">
      <c r="A132" s="449"/>
      <c r="B132" s="483"/>
      <c r="C132" s="457"/>
      <c r="D132" s="106" t="s">
        <v>15</v>
      </c>
      <c r="E132" s="28">
        <f t="shared" si="30"/>
        <v>21380</v>
      </c>
      <c r="F132" s="71">
        <v>1170</v>
      </c>
      <c r="G132" s="28">
        <v>1840</v>
      </c>
      <c r="H132" s="28">
        <v>1837</v>
      </c>
      <c r="I132" s="130">
        <v>1837</v>
      </c>
      <c r="J132" s="28">
        <v>1837</v>
      </c>
      <c r="K132" s="28">
        <v>1837</v>
      </c>
      <c r="L132" s="28">
        <f>K132*6</f>
        <v>11022</v>
      </c>
      <c r="N132" s="46">
        <f t="shared" si="38"/>
        <v>0</v>
      </c>
      <c r="P132" s="28">
        <v>1837</v>
      </c>
    </row>
    <row r="133" spans="1:18" ht="30" x14ac:dyDescent="0.25">
      <c r="A133" s="449"/>
      <c r="B133" s="483"/>
      <c r="C133" s="457"/>
      <c r="D133" s="105" t="s">
        <v>91</v>
      </c>
      <c r="E133" s="28">
        <f t="shared" si="30"/>
        <v>0</v>
      </c>
      <c r="F133" s="28">
        <v>0</v>
      </c>
      <c r="G133" s="28">
        <v>0</v>
      </c>
      <c r="H133" s="28">
        <v>0</v>
      </c>
      <c r="I133" s="130">
        <v>0</v>
      </c>
      <c r="J133" s="28">
        <v>0</v>
      </c>
      <c r="K133" s="28">
        <v>0</v>
      </c>
      <c r="L133" s="28">
        <v>0</v>
      </c>
      <c r="N133" s="46">
        <f t="shared" si="38"/>
        <v>0</v>
      </c>
      <c r="P133" s="28">
        <v>0</v>
      </c>
    </row>
    <row r="134" spans="1:18" x14ac:dyDescent="0.25">
      <c r="A134" s="449"/>
      <c r="B134" s="483"/>
      <c r="C134" s="457"/>
      <c r="D134" s="105" t="s">
        <v>90</v>
      </c>
      <c r="E134" s="28">
        <f t="shared" si="30"/>
        <v>0</v>
      </c>
      <c r="F134" s="28">
        <v>0</v>
      </c>
      <c r="G134" s="28">
        <v>0</v>
      </c>
      <c r="H134" s="28">
        <v>0</v>
      </c>
      <c r="I134" s="130">
        <v>0</v>
      </c>
      <c r="J134" s="28">
        <v>0</v>
      </c>
      <c r="K134" s="28">
        <v>0</v>
      </c>
      <c r="L134" s="28">
        <v>0</v>
      </c>
      <c r="N134" s="46">
        <f t="shared" si="38"/>
        <v>0</v>
      </c>
      <c r="P134" s="28">
        <v>0</v>
      </c>
    </row>
    <row r="135" spans="1:18" s="127" customFormat="1" x14ac:dyDescent="0.25">
      <c r="A135" s="450"/>
      <c r="B135" s="484"/>
      <c r="C135" s="457"/>
      <c r="D135" s="109" t="s">
        <v>18</v>
      </c>
      <c r="E135" s="110">
        <f t="shared" si="30"/>
        <v>8925.6207983999975</v>
      </c>
      <c r="F135" s="110">
        <v>0</v>
      </c>
      <c r="G135" s="110">
        <v>0</v>
      </c>
      <c r="H135" s="110">
        <v>0</v>
      </c>
      <c r="I135" s="165">
        <f>1013-1013</f>
        <v>0</v>
      </c>
      <c r="J135" s="110">
        <v>1046.4289999999999</v>
      </c>
      <c r="K135" s="110">
        <v>1088.2861599999999</v>
      </c>
      <c r="L135" s="119">
        <f>(K129*6-L132)*104%</f>
        <v>6790.9056383999978</v>
      </c>
      <c r="N135" s="134">
        <f t="shared" si="38"/>
        <v>-1013</v>
      </c>
      <c r="O135" s="127" t="s">
        <v>275</v>
      </c>
      <c r="P135" s="110">
        <v>1013</v>
      </c>
      <c r="R135" s="135"/>
    </row>
    <row r="136" spans="1:18" x14ac:dyDescent="0.25">
      <c r="A136" s="448" t="s">
        <v>122</v>
      </c>
      <c r="B136" s="473" t="s">
        <v>187</v>
      </c>
      <c r="C136" s="527" t="s">
        <v>153</v>
      </c>
      <c r="D136" s="114" t="s">
        <v>12</v>
      </c>
      <c r="E136" s="115">
        <f t="shared" si="30"/>
        <v>623561.71952288703</v>
      </c>
      <c r="F136" s="136">
        <f t="shared" ref="F136:H136" si="52">SUM(F137:F142)</f>
        <v>42352.774519999999</v>
      </c>
      <c r="G136" s="115">
        <f t="shared" si="52"/>
        <v>47203.258170000001</v>
      </c>
      <c r="H136" s="115">
        <f t="shared" si="52"/>
        <v>45668.996569999996</v>
      </c>
      <c r="I136" s="137">
        <f>SUM(I137:I142)</f>
        <v>49926.384679999894</v>
      </c>
      <c r="J136" s="115">
        <f t="shared" ref="J136:L136" si="53">SUM(J137:J142)</f>
        <v>51767.683029500004</v>
      </c>
      <c r="K136" s="115">
        <f t="shared" si="53"/>
        <v>54266.296424280001</v>
      </c>
      <c r="L136" s="115">
        <f t="shared" si="53"/>
        <v>332376.32612910715</v>
      </c>
      <c r="M136" s="153"/>
      <c r="N136" s="149">
        <f t="shared" si="38"/>
        <v>-598.49998000010237</v>
      </c>
      <c r="O136" s="153"/>
      <c r="P136" s="115">
        <f>SUM(P137:P142)</f>
        <v>50524.884659999996</v>
      </c>
    </row>
    <row r="137" spans="1:18" s="52" customFormat="1" x14ac:dyDescent="0.25">
      <c r="A137" s="449"/>
      <c r="B137" s="474"/>
      <c r="C137" s="528"/>
      <c r="D137" s="166" t="s">
        <v>13</v>
      </c>
      <c r="E137" s="116">
        <f t="shared" si="30"/>
        <v>312.29999999999995</v>
      </c>
      <c r="F137" s="167">
        <f>F144+F151</f>
        <v>13.6</v>
      </c>
      <c r="G137" s="116">
        <f t="shared" ref="G137:L137" si="54">G144+G151</f>
        <v>0</v>
      </c>
      <c r="H137" s="116">
        <f t="shared" si="54"/>
        <v>50.9</v>
      </c>
      <c r="I137" s="137">
        <f t="shared" si="54"/>
        <v>82.6</v>
      </c>
      <c r="J137" s="116">
        <f t="shared" si="54"/>
        <v>82.6</v>
      </c>
      <c r="K137" s="116">
        <f t="shared" si="54"/>
        <v>82.6</v>
      </c>
      <c r="L137" s="116">
        <f t="shared" si="54"/>
        <v>0</v>
      </c>
      <c r="M137" s="168"/>
      <c r="N137" s="149">
        <f t="shared" si="38"/>
        <v>0</v>
      </c>
      <c r="O137" s="168"/>
      <c r="P137" s="116">
        <f t="shared" ref="P137:P142" si="55">P144+P151</f>
        <v>82.6</v>
      </c>
      <c r="R137" s="92"/>
    </row>
    <row r="138" spans="1:18" s="52" customFormat="1" x14ac:dyDescent="0.25">
      <c r="A138" s="449"/>
      <c r="B138" s="474"/>
      <c r="C138" s="528"/>
      <c r="D138" s="166" t="s">
        <v>14</v>
      </c>
      <c r="E138" s="116">
        <f t="shared" si="30"/>
        <v>4750.40056</v>
      </c>
      <c r="F138" s="167">
        <f t="shared" ref="F138:L142" si="56">F145+F152</f>
        <v>584.27727000000004</v>
      </c>
      <c r="G138" s="116">
        <f t="shared" si="56"/>
        <v>548.5</v>
      </c>
      <c r="H138" s="116">
        <f t="shared" si="56"/>
        <v>672.66728999999998</v>
      </c>
      <c r="I138" s="137">
        <f t="shared" si="56"/>
        <v>903.75599999999997</v>
      </c>
      <c r="J138" s="116">
        <f t="shared" si="56"/>
        <v>655</v>
      </c>
      <c r="K138" s="116">
        <f t="shared" si="56"/>
        <v>1386.2</v>
      </c>
      <c r="L138" s="116">
        <f t="shared" si="56"/>
        <v>0</v>
      </c>
      <c r="M138" s="168"/>
      <c r="N138" s="149">
        <f t="shared" si="38"/>
        <v>0.15600000000006276</v>
      </c>
      <c r="O138" s="168"/>
      <c r="P138" s="116">
        <f t="shared" si="55"/>
        <v>903.59999999999991</v>
      </c>
      <c r="R138" s="92"/>
    </row>
    <row r="139" spans="1:18" x14ac:dyDescent="0.25">
      <c r="A139" s="449"/>
      <c r="B139" s="474"/>
      <c r="C139" s="528"/>
      <c r="D139" s="114" t="s">
        <v>15</v>
      </c>
      <c r="E139" s="115">
        <f t="shared" si="30"/>
        <v>398244.15621999989</v>
      </c>
      <c r="F139" s="167">
        <f t="shared" si="56"/>
        <v>41754.897250000002</v>
      </c>
      <c r="G139" s="116">
        <f t="shared" si="56"/>
        <v>46654.758170000001</v>
      </c>
      <c r="H139" s="116">
        <f t="shared" si="56"/>
        <v>44945.429279999997</v>
      </c>
      <c r="I139" s="137">
        <f t="shared" si="56"/>
        <v>47516.791239999897</v>
      </c>
      <c r="J139" s="116">
        <f t="shared" si="56"/>
        <v>35215.843159999997</v>
      </c>
      <c r="K139" s="116">
        <f t="shared" si="56"/>
        <v>26022.348160000001</v>
      </c>
      <c r="L139" s="116">
        <f t="shared" si="56"/>
        <v>156134.08896000002</v>
      </c>
      <c r="M139" s="153"/>
      <c r="N139" s="149">
        <f t="shared" si="38"/>
        <v>2028.8470699998943</v>
      </c>
      <c r="O139" s="153"/>
      <c r="P139" s="116">
        <f t="shared" si="55"/>
        <v>45487.944170000002</v>
      </c>
    </row>
    <row r="140" spans="1:18" ht="30" x14ac:dyDescent="0.25">
      <c r="A140" s="449"/>
      <c r="B140" s="474"/>
      <c r="C140" s="528"/>
      <c r="D140" s="124" t="s">
        <v>91</v>
      </c>
      <c r="E140" s="115">
        <f t="shared" si="30"/>
        <v>0</v>
      </c>
      <c r="F140" s="167">
        <f t="shared" si="56"/>
        <v>0</v>
      </c>
      <c r="G140" s="116">
        <f t="shared" si="56"/>
        <v>0</v>
      </c>
      <c r="H140" s="116">
        <f t="shared" si="56"/>
        <v>0</v>
      </c>
      <c r="I140" s="137">
        <f t="shared" si="56"/>
        <v>0</v>
      </c>
      <c r="J140" s="116">
        <f t="shared" si="56"/>
        <v>0</v>
      </c>
      <c r="K140" s="116">
        <f t="shared" si="56"/>
        <v>0</v>
      </c>
      <c r="L140" s="116">
        <f t="shared" si="56"/>
        <v>0</v>
      </c>
      <c r="M140" s="153"/>
      <c r="N140" s="149">
        <f t="shared" si="38"/>
        <v>0</v>
      </c>
      <c r="O140" s="153"/>
      <c r="P140" s="116">
        <f t="shared" si="55"/>
        <v>0</v>
      </c>
    </row>
    <row r="141" spans="1:18" x14ac:dyDescent="0.25">
      <c r="A141" s="449"/>
      <c r="B141" s="474"/>
      <c r="C141" s="528"/>
      <c r="D141" s="124" t="s">
        <v>90</v>
      </c>
      <c r="E141" s="115">
        <f t="shared" si="30"/>
        <v>0</v>
      </c>
      <c r="F141" s="167">
        <f t="shared" si="56"/>
        <v>0</v>
      </c>
      <c r="G141" s="116">
        <f t="shared" si="56"/>
        <v>0</v>
      </c>
      <c r="H141" s="116">
        <f t="shared" si="56"/>
        <v>0</v>
      </c>
      <c r="I141" s="137">
        <f t="shared" si="56"/>
        <v>0</v>
      </c>
      <c r="J141" s="116">
        <f t="shared" si="56"/>
        <v>0</v>
      </c>
      <c r="K141" s="116">
        <f t="shared" si="56"/>
        <v>0</v>
      </c>
      <c r="L141" s="116">
        <f t="shared" si="56"/>
        <v>0</v>
      </c>
      <c r="M141" s="153"/>
      <c r="N141" s="149">
        <f t="shared" si="38"/>
        <v>0</v>
      </c>
      <c r="O141" s="153"/>
      <c r="P141" s="116">
        <f t="shared" si="55"/>
        <v>0</v>
      </c>
    </row>
    <row r="142" spans="1:18" s="127" customFormat="1" x14ac:dyDescent="0.25">
      <c r="A142" s="449"/>
      <c r="B142" s="474"/>
      <c r="C142" s="529"/>
      <c r="D142" s="114" t="s">
        <v>18</v>
      </c>
      <c r="E142" s="115">
        <f t="shared" si="30"/>
        <v>220254.86274288714</v>
      </c>
      <c r="F142" s="167">
        <f t="shared" si="56"/>
        <v>0</v>
      </c>
      <c r="G142" s="116">
        <f t="shared" si="56"/>
        <v>0</v>
      </c>
      <c r="H142" s="116">
        <f t="shared" si="56"/>
        <v>0</v>
      </c>
      <c r="I142" s="137">
        <f t="shared" si="56"/>
        <v>1423.2374400000001</v>
      </c>
      <c r="J142" s="116">
        <f t="shared" si="56"/>
        <v>15814.239869500008</v>
      </c>
      <c r="K142" s="116">
        <f t="shared" si="56"/>
        <v>26775.14826428</v>
      </c>
      <c r="L142" s="116">
        <f t="shared" si="56"/>
        <v>176242.23716910713</v>
      </c>
      <c r="M142" s="153"/>
      <c r="N142" s="149">
        <f t="shared" si="38"/>
        <v>-2627.5030500000003</v>
      </c>
      <c r="O142" s="153"/>
      <c r="P142" s="116">
        <f t="shared" si="55"/>
        <v>4050.7404900000001</v>
      </c>
      <c r="R142" s="135"/>
    </row>
    <row r="143" spans="1:18" x14ac:dyDescent="0.25">
      <c r="A143" s="449"/>
      <c r="B143" s="474"/>
      <c r="C143" s="479" t="s">
        <v>8</v>
      </c>
      <c r="D143" s="106" t="s">
        <v>12</v>
      </c>
      <c r="E143" s="28">
        <f t="shared" si="30"/>
        <v>593794.59701401135</v>
      </c>
      <c r="F143" s="71">
        <f t="shared" ref="F143:H143" si="57">SUM(F144:F149)</f>
        <v>42352.774519999999</v>
      </c>
      <c r="G143" s="28">
        <f t="shared" si="57"/>
        <v>47203.258170000001</v>
      </c>
      <c r="H143" s="28">
        <f t="shared" si="57"/>
        <v>42682.766949999997</v>
      </c>
      <c r="I143" s="130">
        <f>SUM(I144:I149)</f>
        <v>47112.500159999894</v>
      </c>
      <c r="J143" s="28">
        <f t="shared" ref="J143:L143" si="58">SUM(J144:J149)</f>
        <v>48935.64567546</v>
      </c>
      <c r="K143" s="28">
        <f t="shared" si="58"/>
        <v>51335.262881678398</v>
      </c>
      <c r="L143" s="28">
        <f t="shared" si="58"/>
        <v>314172.38865687314</v>
      </c>
      <c r="N143" s="46">
        <f t="shared" si="38"/>
        <v>-598.49998000010964</v>
      </c>
      <c r="P143" s="28">
        <f>SUM(P144:P149)</f>
        <v>47711.000140000004</v>
      </c>
    </row>
    <row r="144" spans="1:18" x14ac:dyDescent="0.25">
      <c r="A144" s="449"/>
      <c r="B144" s="474"/>
      <c r="C144" s="480"/>
      <c r="D144" s="51" t="s">
        <v>13</v>
      </c>
      <c r="E144" s="28">
        <f t="shared" si="30"/>
        <v>312.29999999999995</v>
      </c>
      <c r="F144" s="74">
        <f>13.6</f>
        <v>13.6</v>
      </c>
      <c r="G144" s="33">
        <v>0</v>
      </c>
      <c r="H144" s="33">
        <v>50.9</v>
      </c>
      <c r="I144" s="138">
        <v>82.6</v>
      </c>
      <c r="J144" s="33">
        <v>82.6</v>
      </c>
      <c r="K144" s="33">
        <v>82.6</v>
      </c>
      <c r="L144" s="33">
        <v>0</v>
      </c>
      <c r="N144" s="46">
        <f t="shared" si="38"/>
        <v>0</v>
      </c>
      <c r="P144" s="33">
        <v>82.6</v>
      </c>
    </row>
    <row r="145" spans="1:19" x14ac:dyDescent="0.25">
      <c r="A145" s="449"/>
      <c r="B145" s="474"/>
      <c r="C145" s="480"/>
      <c r="D145" s="51" t="s">
        <v>14</v>
      </c>
      <c r="E145" s="28">
        <f t="shared" si="30"/>
        <v>4750.40056</v>
      </c>
      <c r="F145" s="74">
        <f>584.27727</f>
        <v>584.27727000000004</v>
      </c>
      <c r="G145" s="33">
        <v>548.5</v>
      </c>
      <c r="H145" s="33">
        <f>553.9+118.7+0.06729</f>
        <v>672.66728999999998</v>
      </c>
      <c r="I145" s="138">
        <f>903.6+0.156</f>
        <v>903.75599999999997</v>
      </c>
      <c r="J145" s="33">
        <f>554.2+100.8</f>
        <v>655</v>
      </c>
      <c r="K145" s="33">
        <f>1285.4+100.8</f>
        <v>1386.2</v>
      </c>
      <c r="L145" s="33">
        <v>0</v>
      </c>
      <c r="N145" s="46">
        <f t="shared" si="38"/>
        <v>0.15600000000006276</v>
      </c>
      <c r="O145" s="21" t="s">
        <v>263</v>
      </c>
      <c r="P145" s="33">
        <f>802.8+100.8</f>
        <v>903.59999999999991</v>
      </c>
      <c r="Q145" s="95" t="s">
        <v>261</v>
      </c>
      <c r="R145" s="96">
        <v>0.156</v>
      </c>
      <c r="S145" s="95" t="s">
        <v>156</v>
      </c>
    </row>
    <row r="146" spans="1:19" x14ac:dyDescent="0.25">
      <c r="A146" s="449"/>
      <c r="B146" s="474"/>
      <c r="C146" s="480"/>
      <c r="D146" s="106" t="s">
        <v>15</v>
      </c>
      <c r="E146" s="28">
        <f t="shared" si="30"/>
        <v>387781.25539999991</v>
      </c>
      <c r="F146" s="74">
        <f>41126.98824+362+10.90901+210+45</f>
        <v>41754.897250000002</v>
      </c>
      <c r="G146" s="33">
        <f>46781.68526-126.92709</f>
        <v>46654.758170000001</v>
      </c>
      <c r="H146" s="33">
        <f>44945.42928-2986.22962</f>
        <v>41959.199659999998</v>
      </c>
      <c r="I146" s="169">
        <f>42924.3596499999+1879.48751</f>
        <v>44803.847159999896</v>
      </c>
      <c r="J146" s="33">
        <f>35215.84316-2263.79864</f>
        <v>32952.044519999996</v>
      </c>
      <c r="K146" s="33">
        <f>26022.34816-357.13264</f>
        <v>25665.215520000002</v>
      </c>
      <c r="L146" s="33">
        <f>K146*6</f>
        <v>153991.29312000002</v>
      </c>
      <c r="N146" s="46">
        <f t="shared" si="38"/>
        <v>1879.4875099998899</v>
      </c>
      <c r="O146" s="21" t="s">
        <v>264</v>
      </c>
      <c r="P146" s="33">
        <f>45487.94417-2563.58452</f>
        <v>42924.359650000006</v>
      </c>
      <c r="Q146" s="21" t="s">
        <v>260</v>
      </c>
      <c r="R146" s="88">
        <v>775.48751000000004</v>
      </c>
      <c r="S146" s="21" t="s">
        <v>258</v>
      </c>
    </row>
    <row r="147" spans="1:19" ht="30" x14ac:dyDescent="0.25">
      <c r="A147" s="449"/>
      <c r="B147" s="474"/>
      <c r="C147" s="480"/>
      <c r="D147" s="105" t="s">
        <v>91</v>
      </c>
      <c r="E147" s="28">
        <f t="shared" si="30"/>
        <v>0</v>
      </c>
      <c r="F147" s="33">
        <v>0</v>
      </c>
      <c r="G147" s="33">
        <v>0</v>
      </c>
      <c r="H147" s="33">
        <v>0</v>
      </c>
      <c r="I147" s="130">
        <v>0</v>
      </c>
      <c r="J147" s="33">
        <v>0</v>
      </c>
      <c r="K147" s="33">
        <v>0</v>
      </c>
      <c r="L147" s="33">
        <v>0</v>
      </c>
      <c r="N147" s="46">
        <f t="shared" si="38"/>
        <v>0</v>
      </c>
      <c r="P147" s="33">
        <v>0</v>
      </c>
      <c r="Q147" s="87" t="s">
        <v>259</v>
      </c>
      <c r="R147" s="91">
        <v>804</v>
      </c>
      <c r="S147" s="87" t="s">
        <v>250</v>
      </c>
    </row>
    <row r="148" spans="1:19" ht="15.75" thickBot="1" x14ac:dyDescent="0.3">
      <c r="A148" s="449"/>
      <c r="B148" s="474"/>
      <c r="C148" s="480"/>
      <c r="D148" s="105" t="s">
        <v>90</v>
      </c>
      <c r="E148" s="28">
        <f t="shared" si="30"/>
        <v>0</v>
      </c>
      <c r="F148" s="33">
        <v>0</v>
      </c>
      <c r="G148" s="33">
        <v>0</v>
      </c>
      <c r="H148" s="33">
        <v>0</v>
      </c>
      <c r="I148" s="130">
        <v>0</v>
      </c>
      <c r="J148" s="33">
        <v>0</v>
      </c>
      <c r="K148" s="33">
        <v>0</v>
      </c>
      <c r="L148" s="33">
        <v>0</v>
      </c>
      <c r="N148" s="46">
        <f t="shared" si="38"/>
        <v>0</v>
      </c>
      <c r="O148" s="52"/>
      <c r="P148" s="33">
        <v>0</v>
      </c>
      <c r="Q148" s="21" t="s">
        <v>262</v>
      </c>
      <c r="R148" s="88">
        <v>300</v>
      </c>
      <c r="S148" s="21" t="s">
        <v>250</v>
      </c>
    </row>
    <row r="149" spans="1:19" s="127" customFormat="1" ht="15.75" thickBot="1" x14ac:dyDescent="0.3">
      <c r="A149" s="449"/>
      <c r="B149" s="474"/>
      <c r="C149" s="481"/>
      <c r="D149" s="109" t="s">
        <v>18</v>
      </c>
      <c r="E149" s="110">
        <f t="shared" si="30"/>
        <v>200950.64105401156</v>
      </c>
      <c r="F149" s="111">
        <v>0</v>
      </c>
      <c r="G149" s="111">
        <v>0</v>
      </c>
      <c r="H149" s="170"/>
      <c r="I149" s="155">
        <v>1322.297</v>
      </c>
      <c r="J149" s="123">
        <v>15246.001155460008</v>
      </c>
      <c r="K149" s="123">
        <v>24201.247361678401</v>
      </c>
      <c r="L149" s="126">
        <f>(K143*6-L146)*104%</f>
        <v>160181.09553687315</v>
      </c>
      <c r="N149" s="134">
        <f t="shared" si="38"/>
        <v>-2478.1434899999999</v>
      </c>
      <c r="O149" s="123" t="s">
        <v>275</v>
      </c>
      <c r="P149" s="123">
        <f>4050.74049-250.3</f>
        <v>3800.44049</v>
      </c>
      <c r="R149" s="171">
        <f>SUM(R146:R148)</f>
        <v>1879.4875099999999</v>
      </c>
    </row>
    <row r="150" spans="1:19" x14ac:dyDescent="0.25">
      <c r="A150" s="449"/>
      <c r="B150" s="474"/>
      <c r="C150" s="479" t="s">
        <v>197</v>
      </c>
      <c r="D150" s="106" t="s">
        <v>12</v>
      </c>
      <c r="E150" s="28">
        <f t="shared" si="30"/>
        <v>29767.122508875585</v>
      </c>
      <c r="F150" s="33">
        <f t="shared" ref="F150:H150" si="59">SUM(F151:F156)</f>
        <v>0</v>
      </c>
      <c r="G150" s="33">
        <f t="shared" si="59"/>
        <v>0</v>
      </c>
      <c r="H150" s="33">
        <f t="shared" si="59"/>
        <v>2986.2296200000001</v>
      </c>
      <c r="I150" s="130">
        <f>SUM(I151:I156)</f>
        <v>2813.8845199999996</v>
      </c>
      <c r="J150" s="33">
        <f t="shared" ref="J150:L150" si="60">SUM(J151:J156)</f>
        <v>2832.0373540400001</v>
      </c>
      <c r="K150" s="33">
        <f t="shared" si="60"/>
        <v>2931.0335426016004</v>
      </c>
      <c r="L150" s="33">
        <f t="shared" si="60"/>
        <v>18203.937472233985</v>
      </c>
      <c r="N150" s="46">
        <f t="shared" si="38"/>
        <v>0</v>
      </c>
      <c r="O150" s="52"/>
      <c r="P150" s="33">
        <f>SUM(P151:P156)</f>
        <v>2813.8845200000001</v>
      </c>
    </row>
    <row r="151" spans="1:19" x14ac:dyDescent="0.25">
      <c r="A151" s="449"/>
      <c r="B151" s="474"/>
      <c r="C151" s="480"/>
      <c r="D151" s="51" t="s">
        <v>13</v>
      </c>
      <c r="E151" s="28">
        <f t="shared" si="30"/>
        <v>0</v>
      </c>
      <c r="F151" s="33"/>
      <c r="G151" s="33"/>
      <c r="H151" s="62"/>
      <c r="I151" s="158"/>
      <c r="J151" s="31"/>
      <c r="K151" s="31"/>
      <c r="L151" s="64"/>
      <c r="N151" s="46">
        <f t="shared" si="38"/>
        <v>0</v>
      </c>
      <c r="P151" s="31"/>
    </row>
    <row r="152" spans="1:19" x14ac:dyDescent="0.25">
      <c r="A152" s="449"/>
      <c r="B152" s="474"/>
      <c r="C152" s="480"/>
      <c r="D152" s="51" t="s">
        <v>14</v>
      </c>
      <c r="E152" s="28">
        <f t="shared" si="30"/>
        <v>0</v>
      </c>
      <c r="F152" s="33"/>
      <c r="G152" s="33"/>
      <c r="H152" s="62"/>
      <c r="I152" s="158"/>
      <c r="J152" s="31"/>
      <c r="K152" s="31"/>
      <c r="L152" s="64"/>
      <c r="N152" s="46">
        <f t="shared" si="38"/>
        <v>0</v>
      </c>
      <c r="P152" s="31"/>
    </row>
    <row r="153" spans="1:19" x14ac:dyDescent="0.25">
      <c r="A153" s="449"/>
      <c r="B153" s="474"/>
      <c r="C153" s="480"/>
      <c r="D153" s="106" t="s">
        <v>15</v>
      </c>
      <c r="E153" s="28">
        <f t="shared" si="30"/>
        <v>10462.900819999999</v>
      </c>
      <c r="F153" s="33"/>
      <c r="G153" s="33"/>
      <c r="H153" s="62">
        <v>2986.2296200000001</v>
      </c>
      <c r="I153" s="159">
        <f>2563.58452+149.35956</f>
        <v>2712.9440799999998</v>
      </c>
      <c r="J153" s="31">
        <v>2263.79864</v>
      </c>
      <c r="K153" s="31">
        <v>357.13263999999998</v>
      </c>
      <c r="L153" s="64">
        <f>K153*6</f>
        <v>2142.7958399999998</v>
      </c>
      <c r="N153" s="46">
        <f t="shared" si="38"/>
        <v>149.35955999999987</v>
      </c>
      <c r="P153" s="31">
        <v>2563.5845199999999</v>
      </c>
      <c r="Q153" s="21" t="s">
        <v>256</v>
      </c>
      <c r="R153" s="88">
        <v>149.35955999999999</v>
      </c>
      <c r="S153" s="21" t="s">
        <v>239</v>
      </c>
    </row>
    <row r="154" spans="1:19" ht="30" x14ac:dyDescent="0.25">
      <c r="A154" s="449"/>
      <c r="B154" s="474"/>
      <c r="C154" s="480"/>
      <c r="D154" s="105" t="s">
        <v>91</v>
      </c>
      <c r="E154" s="28">
        <f t="shared" si="30"/>
        <v>0</v>
      </c>
      <c r="F154" s="33"/>
      <c r="G154" s="33"/>
      <c r="H154" s="62"/>
      <c r="I154" s="158"/>
      <c r="J154" s="31"/>
      <c r="K154" s="31"/>
      <c r="L154" s="64"/>
      <c r="N154" s="46">
        <f t="shared" si="38"/>
        <v>0</v>
      </c>
      <c r="P154" s="31"/>
    </row>
    <row r="155" spans="1:19" x14ac:dyDescent="0.25">
      <c r="A155" s="449"/>
      <c r="B155" s="474"/>
      <c r="C155" s="480"/>
      <c r="D155" s="105" t="s">
        <v>90</v>
      </c>
      <c r="E155" s="28">
        <f t="shared" si="30"/>
        <v>0</v>
      </c>
      <c r="F155" s="33"/>
      <c r="G155" s="33"/>
      <c r="H155" s="62"/>
      <c r="I155" s="158"/>
      <c r="J155" s="31"/>
      <c r="K155" s="31"/>
      <c r="L155" s="64"/>
      <c r="N155" s="46">
        <f t="shared" si="38"/>
        <v>0</v>
      </c>
      <c r="P155" s="31"/>
    </row>
    <row r="156" spans="1:19" s="127" customFormat="1" x14ac:dyDescent="0.25">
      <c r="A156" s="450"/>
      <c r="B156" s="475"/>
      <c r="C156" s="481"/>
      <c r="D156" s="109" t="s">
        <v>18</v>
      </c>
      <c r="E156" s="110">
        <f t="shared" si="30"/>
        <v>19304.221688875587</v>
      </c>
      <c r="F156" s="111"/>
      <c r="G156" s="111"/>
      <c r="H156" s="172"/>
      <c r="I156" s="160">
        <f>250.3-149.35956</f>
        <v>100.94044000000002</v>
      </c>
      <c r="J156" s="161">
        <v>568.23871403999999</v>
      </c>
      <c r="K156" s="161">
        <v>2573.9009026016006</v>
      </c>
      <c r="L156" s="126">
        <f>(K150*6-L153)*104%</f>
        <v>16061.141632233986</v>
      </c>
      <c r="N156" s="134">
        <f t="shared" si="38"/>
        <v>-149.35955999999999</v>
      </c>
      <c r="O156" s="173" t="s">
        <v>275</v>
      </c>
      <c r="P156" s="163">
        <v>250.3</v>
      </c>
      <c r="R156" s="135"/>
    </row>
    <row r="157" spans="1:19" x14ac:dyDescent="0.25">
      <c r="A157" s="448" t="s">
        <v>123</v>
      </c>
      <c r="B157" s="467" t="s">
        <v>188</v>
      </c>
      <c r="C157" s="457" t="s">
        <v>125</v>
      </c>
      <c r="D157" s="106" t="s">
        <v>12</v>
      </c>
      <c r="E157" s="28">
        <f t="shared" si="30"/>
        <v>250</v>
      </c>
      <c r="F157" s="28">
        <f t="shared" ref="F157:H157" si="61">SUM(F158:F163)</f>
        <v>0</v>
      </c>
      <c r="G157" s="28">
        <f t="shared" si="61"/>
        <v>50</v>
      </c>
      <c r="H157" s="34">
        <f t="shared" si="61"/>
        <v>50</v>
      </c>
      <c r="I157" s="142">
        <f>SUM(I158:I163)</f>
        <v>50</v>
      </c>
      <c r="J157" s="34">
        <f t="shared" ref="J157:L157" si="62">SUM(J158:J163)</f>
        <v>50</v>
      </c>
      <c r="K157" s="34">
        <f t="shared" si="62"/>
        <v>50</v>
      </c>
      <c r="L157" s="28">
        <f t="shared" si="62"/>
        <v>0</v>
      </c>
      <c r="N157" s="46">
        <f t="shared" si="38"/>
        <v>0</v>
      </c>
      <c r="P157" s="34">
        <f>SUM(P158:P163)</f>
        <v>50</v>
      </c>
    </row>
    <row r="158" spans="1:19" x14ac:dyDescent="0.25">
      <c r="A158" s="449"/>
      <c r="B158" s="468"/>
      <c r="C158" s="457"/>
      <c r="D158" s="106" t="s">
        <v>13</v>
      </c>
      <c r="E158" s="28">
        <f t="shared" si="30"/>
        <v>0</v>
      </c>
      <c r="F158" s="28">
        <v>0</v>
      </c>
      <c r="G158" s="28">
        <v>0</v>
      </c>
      <c r="H158" s="28">
        <v>0</v>
      </c>
      <c r="I158" s="130">
        <v>0</v>
      </c>
      <c r="J158" s="28">
        <v>0</v>
      </c>
      <c r="K158" s="28">
        <v>0</v>
      </c>
      <c r="L158" s="28">
        <v>0</v>
      </c>
      <c r="N158" s="46">
        <f t="shared" si="38"/>
        <v>0</v>
      </c>
      <c r="P158" s="28">
        <v>0</v>
      </c>
    </row>
    <row r="159" spans="1:19" x14ac:dyDescent="0.25">
      <c r="A159" s="449"/>
      <c r="B159" s="468"/>
      <c r="C159" s="457"/>
      <c r="D159" s="106" t="s">
        <v>14</v>
      </c>
      <c r="E159" s="28">
        <f t="shared" si="30"/>
        <v>0</v>
      </c>
      <c r="F159" s="28">
        <v>0</v>
      </c>
      <c r="G159" s="28">
        <v>0</v>
      </c>
      <c r="H159" s="28">
        <v>0</v>
      </c>
      <c r="I159" s="130">
        <v>0</v>
      </c>
      <c r="J159" s="28">
        <v>0</v>
      </c>
      <c r="K159" s="28">
        <v>0</v>
      </c>
      <c r="L159" s="28">
        <v>0</v>
      </c>
      <c r="N159" s="46">
        <f t="shared" ref="N159:N222" si="63">I159-P159</f>
        <v>0</v>
      </c>
      <c r="P159" s="28">
        <v>0</v>
      </c>
    </row>
    <row r="160" spans="1:19" x14ac:dyDescent="0.25">
      <c r="A160" s="449"/>
      <c r="B160" s="468"/>
      <c r="C160" s="457"/>
      <c r="D160" s="106" t="s">
        <v>15</v>
      </c>
      <c r="E160" s="28">
        <f t="shared" si="30"/>
        <v>250</v>
      </c>
      <c r="F160" s="28">
        <v>0</v>
      </c>
      <c r="G160" s="28">
        <v>50</v>
      </c>
      <c r="H160" s="28">
        <v>50</v>
      </c>
      <c r="I160" s="130">
        <v>50</v>
      </c>
      <c r="J160" s="28">
        <v>50</v>
      </c>
      <c r="K160" s="28">
        <v>50</v>
      </c>
      <c r="L160" s="28">
        <v>0</v>
      </c>
      <c r="N160" s="46">
        <f t="shared" si="63"/>
        <v>0</v>
      </c>
      <c r="O160" s="21" t="s">
        <v>234</v>
      </c>
      <c r="P160" s="28">
        <v>50</v>
      </c>
    </row>
    <row r="161" spans="1:19" ht="30" x14ac:dyDescent="0.25">
      <c r="A161" s="449"/>
      <c r="B161" s="468"/>
      <c r="C161" s="457"/>
      <c r="D161" s="105" t="s">
        <v>91</v>
      </c>
      <c r="E161" s="28">
        <f t="shared" si="30"/>
        <v>0</v>
      </c>
      <c r="F161" s="28">
        <v>0</v>
      </c>
      <c r="G161" s="28">
        <v>0</v>
      </c>
      <c r="H161" s="28">
        <v>0</v>
      </c>
      <c r="I161" s="130">
        <v>0</v>
      </c>
      <c r="J161" s="28">
        <v>0</v>
      </c>
      <c r="K161" s="28">
        <v>0</v>
      </c>
      <c r="L161" s="28">
        <v>0</v>
      </c>
      <c r="N161" s="46">
        <f t="shared" si="63"/>
        <v>0</v>
      </c>
      <c r="P161" s="28">
        <v>0</v>
      </c>
    </row>
    <row r="162" spans="1:19" x14ac:dyDescent="0.25">
      <c r="A162" s="449"/>
      <c r="B162" s="468"/>
      <c r="C162" s="457"/>
      <c r="D162" s="105" t="s">
        <v>90</v>
      </c>
      <c r="E162" s="28">
        <f t="shared" si="30"/>
        <v>0</v>
      </c>
      <c r="F162" s="28">
        <v>0</v>
      </c>
      <c r="G162" s="28">
        <v>0</v>
      </c>
      <c r="H162" s="28">
        <v>0</v>
      </c>
      <c r="I162" s="130">
        <v>0</v>
      </c>
      <c r="J162" s="28">
        <v>0</v>
      </c>
      <c r="K162" s="28">
        <v>0</v>
      </c>
      <c r="L162" s="28">
        <v>0</v>
      </c>
      <c r="N162" s="46">
        <f t="shared" si="63"/>
        <v>0</v>
      </c>
      <c r="P162" s="28">
        <v>0</v>
      </c>
    </row>
    <row r="163" spans="1:19" s="127" customFormat="1" x14ac:dyDescent="0.25">
      <c r="A163" s="450"/>
      <c r="B163" s="469"/>
      <c r="C163" s="457"/>
      <c r="D163" s="109" t="s">
        <v>18</v>
      </c>
      <c r="E163" s="110">
        <f t="shared" si="30"/>
        <v>0</v>
      </c>
      <c r="F163" s="110">
        <v>0</v>
      </c>
      <c r="G163" s="110">
        <v>0</v>
      </c>
      <c r="H163" s="110">
        <v>0</v>
      </c>
      <c r="I163" s="133">
        <v>0</v>
      </c>
      <c r="J163" s="110">
        <v>0</v>
      </c>
      <c r="K163" s="110">
        <v>0</v>
      </c>
      <c r="L163" s="110">
        <v>0</v>
      </c>
      <c r="N163" s="134">
        <f t="shared" si="63"/>
        <v>0</v>
      </c>
      <c r="P163" s="110">
        <v>0</v>
      </c>
      <c r="R163" s="135"/>
    </row>
    <row r="164" spans="1:19" s="146" customFormat="1" x14ac:dyDescent="0.25">
      <c r="A164" s="515" t="s">
        <v>124</v>
      </c>
      <c r="B164" s="516"/>
      <c r="C164" s="517"/>
      <c r="D164" s="109" t="s">
        <v>12</v>
      </c>
      <c r="E164" s="110">
        <f t="shared" si="30"/>
        <v>4420639.5453396253</v>
      </c>
      <c r="F164" s="143">
        <f t="shared" ref="F164:H164" si="64">SUM(F165:F170)</f>
        <v>304110.96789000003</v>
      </c>
      <c r="G164" s="110">
        <f t="shared" si="64"/>
        <v>330577.97645000002</v>
      </c>
      <c r="H164" s="110">
        <f t="shared" si="64"/>
        <v>313702.0514</v>
      </c>
      <c r="I164" s="133">
        <f>SUM(I165:I170)</f>
        <v>369342.91828999983</v>
      </c>
      <c r="J164" s="110">
        <f t="shared" ref="J164:L164" si="65">SUM(J165:J170)</f>
        <v>374801.46281174</v>
      </c>
      <c r="K164" s="110">
        <f t="shared" si="65"/>
        <v>383382.03145340958</v>
      </c>
      <c r="L164" s="110">
        <f t="shared" si="65"/>
        <v>2344722.1370444759</v>
      </c>
      <c r="N164" s="134">
        <f t="shared" si="63"/>
        <v>577.68373999977484</v>
      </c>
      <c r="P164" s="110">
        <f>SUM(P165:P170)</f>
        <v>368765.23455000005</v>
      </c>
      <c r="R164" s="147"/>
    </row>
    <row r="165" spans="1:19" s="146" customFormat="1" x14ac:dyDescent="0.25">
      <c r="A165" s="518"/>
      <c r="B165" s="519"/>
      <c r="C165" s="520"/>
      <c r="D165" s="109" t="s">
        <v>13</v>
      </c>
      <c r="E165" s="110">
        <f t="shared" si="30"/>
        <v>312.29999999999995</v>
      </c>
      <c r="F165" s="143">
        <f t="shared" ref="F165:L170" si="66">F81+F88+F95+F130+F137+F158</f>
        <v>13.6</v>
      </c>
      <c r="G165" s="110">
        <f t="shared" si="66"/>
        <v>0</v>
      </c>
      <c r="H165" s="110">
        <f t="shared" si="66"/>
        <v>50.9</v>
      </c>
      <c r="I165" s="133">
        <f t="shared" si="66"/>
        <v>82.6</v>
      </c>
      <c r="J165" s="110">
        <f t="shared" si="66"/>
        <v>82.6</v>
      </c>
      <c r="K165" s="110">
        <f t="shared" si="66"/>
        <v>82.6</v>
      </c>
      <c r="L165" s="110">
        <f t="shared" si="66"/>
        <v>0</v>
      </c>
      <c r="N165" s="134">
        <f t="shared" si="63"/>
        <v>0</v>
      </c>
      <c r="P165" s="110">
        <f t="shared" ref="P165:P170" si="67">P81+P88+P95+P130+P137+P158</f>
        <v>82.6</v>
      </c>
      <c r="R165" s="147"/>
    </row>
    <row r="166" spans="1:19" s="146" customFormat="1" x14ac:dyDescent="0.25">
      <c r="A166" s="518"/>
      <c r="B166" s="519"/>
      <c r="C166" s="520"/>
      <c r="D166" s="109" t="s">
        <v>14</v>
      </c>
      <c r="E166" s="110">
        <f t="shared" si="30"/>
        <v>5872.9005599999991</v>
      </c>
      <c r="F166" s="143">
        <f t="shared" si="66"/>
        <v>914.27727000000004</v>
      </c>
      <c r="G166" s="110">
        <f t="shared" si="66"/>
        <v>691.5</v>
      </c>
      <c r="H166" s="110">
        <f t="shared" si="66"/>
        <v>672.66728999999998</v>
      </c>
      <c r="I166" s="133">
        <f t="shared" si="66"/>
        <v>1553.2559999999999</v>
      </c>
      <c r="J166" s="110">
        <f t="shared" si="66"/>
        <v>655</v>
      </c>
      <c r="K166" s="110">
        <f t="shared" si="66"/>
        <v>1386.2</v>
      </c>
      <c r="L166" s="110">
        <f t="shared" si="66"/>
        <v>0</v>
      </c>
      <c r="N166" s="134">
        <f t="shared" si="63"/>
        <v>649.65599999999995</v>
      </c>
      <c r="P166" s="110">
        <f t="shared" si="67"/>
        <v>903.59999999999991</v>
      </c>
      <c r="R166" s="147"/>
    </row>
    <row r="167" spans="1:19" s="146" customFormat="1" x14ac:dyDescent="0.25">
      <c r="A167" s="518"/>
      <c r="B167" s="519"/>
      <c r="C167" s="520"/>
      <c r="D167" s="109" t="s">
        <v>15</v>
      </c>
      <c r="E167" s="110">
        <f t="shared" si="30"/>
        <v>2864507.8594200001</v>
      </c>
      <c r="F167" s="143">
        <f t="shared" si="66"/>
        <v>303183.09062000003</v>
      </c>
      <c r="G167" s="110">
        <f t="shared" si="66"/>
        <v>329886.47645000002</v>
      </c>
      <c r="H167" s="110">
        <f t="shared" si="66"/>
        <v>312978.48411000002</v>
      </c>
      <c r="I167" s="133">
        <f t="shared" si="66"/>
        <v>331508.33907999989</v>
      </c>
      <c r="J167" s="110">
        <f t="shared" si="66"/>
        <v>208200.74176999999</v>
      </c>
      <c r="K167" s="110">
        <f t="shared" si="66"/>
        <v>197007.24677</v>
      </c>
      <c r="L167" s="110">
        <f t="shared" si="66"/>
        <v>1181743.48062</v>
      </c>
      <c r="N167" s="134">
        <f t="shared" si="63"/>
        <v>23469.440849999839</v>
      </c>
      <c r="P167" s="110">
        <f t="shared" si="67"/>
        <v>308038.89823000005</v>
      </c>
      <c r="R167" s="147">
        <f>I165+I166+I167</f>
        <v>333144.19507999986</v>
      </c>
      <c r="S167" s="146" t="s">
        <v>272</v>
      </c>
    </row>
    <row r="168" spans="1:19" s="146" customFormat="1" ht="30" x14ac:dyDescent="0.25">
      <c r="A168" s="518"/>
      <c r="B168" s="519"/>
      <c r="C168" s="520"/>
      <c r="D168" s="113" t="s">
        <v>91</v>
      </c>
      <c r="E168" s="110">
        <f t="shared" si="30"/>
        <v>0</v>
      </c>
      <c r="F168" s="110">
        <f t="shared" si="66"/>
        <v>0</v>
      </c>
      <c r="G168" s="110">
        <f t="shared" si="66"/>
        <v>0</v>
      </c>
      <c r="H168" s="110">
        <f t="shared" si="66"/>
        <v>0</v>
      </c>
      <c r="I168" s="133">
        <f t="shared" si="66"/>
        <v>0</v>
      </c>
      <c r="J168" s="110">
        <f t="shared" si="66"/>
        <v>0</v>
      </c>
      <c r="K168" s="110">
        <f t="shared" si="66"/>
        <v>0</v>
      </c>
      <c r="L168" s="110">
        <f t="shared" si="66"/>
        <v>0</v>
      </c>
      <c r="N168" s="134">
        <f t="shared" si="63"/>
        <v>0</v>
      </c>
      <c r="P168" s="110">
        <f t="shared" si="67"/>
        <v>0</v>
      </c>
      <c r="R168" s="147">
        <v>333144.19507999998</v>
      </c>
      <c r="S168" s="146" t="s">
        <v>271</v>
      </c>
    </row>
    <row r="169" spans="1:19" s="146" customFormat="1" x14ac:dyDescent="0.25">
      <c r="A169" s="518"/>
      <c r="B169" s="519"/>
      <c r="C169" s="520"/>
      <c r="D169" s="113" t="s">
        <v>90</v>
      </c>
      <c r="E169" s="110">
        <f t="shared" si="30"/>
        <v>0</v>
      </c>
      <c r="F169" s="110">
        <f t="shared" si="66"/>
        <v>0</v>
      </c>
      <c r="G169" s="110">
        <f t="shared" si="66"/>
        <v>0</v>
      </c>
      <c r="H169" s="110">
        <f t="shared" si="66"/>
        <v>0</v>
      </c>
      <c r="I169" s="133">
        <f t="shared" si="66"/>
        <v>0</v>
      </c>
      <c r="J169" s="110">
        <f t="shared" si="66"/>
        <v>0</v>
      </c>
      <c r="K169" s="110">
        <f t="shared" si="66"/>
        <v>0</v>
      </c>
      <c r="L169" s="110">
        <f t="shared" si="66"/>
        <v>0</v>
      </c>
      <c r="N169" s="134">
        <f t="shared" si="63"/>
        <v>0</v>
      </c>
      <c r="P169" s="110">
        <f t="shared" si="67"/>
        <v>0</v>
      </c>
      <c r="R169" s="147">
        <f>R167-R168</f>
        <v>0</v>
      </c>
      <c r="S169" s="146" t="s">
        <v>273</v>
      </c>
    </row>
    <row r="170" spans="1:19" s="148" customFormat="1" x14ac:dyDescent="0.25">
      <c r="A170" s="521"/>
      <c r="B170" s="522"/>
      <c r="C170" s="523"/>
      <c r="D170" s="114" t="s">
        <v>18</v>
      </c>
      <c r="E170" s="115">
        <f t="shared" si="30"/>
        <v>1549946.4853596254</v>
      </c>
      <c r="F170" s="115">
        <f t="shared" si="66"/>
        <v>0</v>
      </c>
      <c r="G170" s="115">
        <f t="shared" si="66"/>
        <v>0</v>
      </c>
      <c r="H170" s="115">
        <f t="shared" si="66"/>
        <v>0</v>
      </c>
      <c r="I170" s="137">
        <f t="shared" si="66"/>
        <v>36198.723209999996</v>
      </c>
      <c r="J170" s="115">
        <f t="shared" si="66"/>
        <v>165863.12104174003</v>
      </c>
      <c r="K170" s="115">
        <f t="shared" si="66"/>
        <v>184905.9846834096</v>
      </c>
      <c r="L170" s="115">
        <f t="shared" si="66"/>
        <v>1162978.6564244758</v>
      </c>
      <c r="N170" s="149">
        <f t="shared" si="63"/>
        <v>-23541.413110000009</v>
      </c>
      <c r="P170" s="115">
        <f t="shared" si="67"/>
        <v>59740.136320000005</v>
      </c>
      <c r="R170" s="150">
        <f>R169-R102</f>
        <v>4786.5339999999997</v>
      </c>
      <c r="S170" s="148" t="s">
        <v>274</v>
      </c>
    </row>
    <row r="171" spans="1:19" s="29" customFormat="1" x14ac:dyDescent="0.25">
      <c r="A171" s="441" t="s">
        <v>146</v>
      </c>
      <c r="B171" s="441"/>
      <c r="C171" s="441"/>
      <c r="D171" s="441"/>
      <c r="E171" s="441"/>
      <c r="F171" s="441"/>
      <c r="G171" s="441"/>
      <c r="H171" s="441"/>
      <c r="I171" s="441"/>
      <c r="J171" s="441"/>
      <c r="K171" s="441"/>
      <c r="L171" s="441"/>
      <c r="N171" s="46">
        <f t="shared" si="63"/>
        <v>0</v>
      </c>
      <c r="R171" s="90"/>
    </row>
    <row r="172" spans="1:19" s="153" customFormat="1" x14ac:dyDescent="0.25">
      <c r="A172" s="448" t="s">
        <v>126</v>
      </c>
      <c r="B172" s="473" t="s">
        <v>189</v>
      </c>
      <c r="C172" s="527" t="s">
        <v>120</v>
      </c>
      <c r="D172" s="114" t="s">
        <v>12</v>
      </c>
      <c r="E172" s="115">
        <f t="shared" ref="E172:E249" si="68">SUM(F172:L172)</f>
        <v>1187341.7986354409</v>
      </c>
      <c r="F172" s="136">
        <f t="shared" ref="F172:H172" si="69">SUM(F173:F178)</f>
        <v>92851.372900000002</v>
      </c>
      <c r="G172" s="115">
        <f t="shared" si="69"/>
        <v>92018.475919999997</v>
      </c>
      <c r="H172" s="115">
        <f t="shared" si="69"/>
        <v>100174.59561</v>
      </c>
      <c r="I172" s="137">
        <f>SUM(I173:I178)</f>
        <v>101462.11838999999</v>
      </c>
      <c r="J172" s="115">
        <f t="shared" ref="J172:L172" si="70">SUM(J173:J178)</f>
        <v>98845.839042570005</v>
      </c>
      <c r="K172" s="115">
        <f t="shared" si="70"/>
        <v>99606.301540672808</v>
      </c>
      <c r="L172" s="115">
        <f t="shared" si="70"/>
        <v>602383.09523219825</v>
      </c>
      <c r="N172" s="149">
        <f t="shared" si="63"/>
        <v>3060.9755099999893</v>
      </c>
      <c r="P172" s="115">
        <f>SUM(P173:P178)</f>
        <v>98401.142879999999</v>
      </c>
      <c r="R172" s="174"/>
    </row>
    <row r="173" spans="1:19" s="153" customFormat="1" x14ac:dyDescent="0.25">
      <c r="A173" s="449"/>
      <c r="B173" s="474"/>
      <c r="C173" s="528"/>
      <c r="D173" s="114" t="s">
        <v>13</v>
      </c>
      <c r="E173" s="115">
        <f t="shared" si="68"/>
        <v>0</v>
      </c>
      <c r="F173" s="115">
        <f>F180+F187</f>
        <v>0</v>
      </c>
      <c r="G173" s="115">
        <f t="shared" ref="G173:L173" si="71">G180+G187</f>
        <v>0</v>
      </c>
      <c r="H173" s="115">
        <f t="shared" si="71"/>
        <v>0</v>
      </c>
      <c r="I173" s="137">
        <f t="shared" si="71"/>
        <v>0</v>
      </c>
      <c r="J173" s="115">
        <f t="shared" si="71"/>
        <v>0</v>
      </c>
      <c r="K173" s="115">
        <f t="shared" si="71"/>
        <v>0</v>
      </c>
      <c r="L173" s="115">
        <f t="shared" si="71"/>
        <v>0</v>
      </c>
      <c r="N173" s="149">
        <f t="shared" si="63"/>
        <v>0</v>
      </c>
      <c r="P173" s="115">
        <f t="shared" ref="P173:P178" si="72">P180+P187</f>
        <v>0</v>
      </c>
      <c r="R173" s="174"/>
    </row>
    <row r="174" spans="1:19" s="153" customFormat="1" x14ac:dyDescent="0.25">
      <c r="A174" s="449"/>
      <c r="B174" s="474"/>
      <c r="C174" s="528"/>
      <c r="D174" s="114" t="s">
        <v>14</v>
      </c>
      <c r="E174" s="115">
        <f t="shared" si="68"/>
        <v>0</v>
      </c>
      <c r="F174" s="115">
        <f t="shared" ref="F174:L178" si="73">F181+F188</f>
        <v>0</v>
      </c>
      <c r="G174" s="115">
        <f t="shared" si="73"/>
        <v>0</v>
      </c>
      <c r="H174" s="115">
        <f t="shared" si="73"/>
        <v>0</v>
      </c>
      <c r="I174" s="137">
        <f t="shared" si="73"/>
        <v>0</v>
      </c>
      <c r="J174" s="115">
        <f t="shared" si="73"/>
        <v>0</v>
      </c>
      <c r="K174" s="115">
        <f t="shared" si="73"/>
        <v>0</v>
      </c>
      <c r="L174" s="115">
        <f t="shared" si="73"/>
        <v>0</v>
      </c>
      <c r="N174" s="149">
        <f t="shared" si="63"/>
        <v>0</v>
      </c>
      <c r="P174" s="115">
        <f t="shared" si="72"/>
        <v>0</v>
      </c>
      <c r="R174" s="174"/>
    </row>
    <row r="175" spans="1:19" s="153" customFormat="1" x14ac:dyDescent="0.25">
      <c r="A175" s="449"/>
      <c r="B175" s="474"/>
      <c r="C175" s="528"/>
      <c r="D175" s="114" t="s">
        <v>15</v>
      </c>
      <c r="E175" s="115">
        <f t="shared" si="68"/>
        <v>1023079.2431600001</v>
      </c>
      <c r="F175" s="136">
        <f t="shared" si="73"/>
        <v>92851.372900000002</v>
      </c>
      <c r="G175" s="115">
        <f t="shared" si="73"/>
        <v>92018.475919999997</v>
      </c>
      <c r="H175" s="115">
        <f t="shared" si="73"/>
        <v>100174.59561</v>
      </c>
      <c r="I175" s="137">
        <f t="shared" si="73"/>
        <v>94269.361009999993</v>
      </c>
      <c r="J175" s="115">
        <f t="shared" si="73"/>
        <v>84925.50159</v>
      </c>
      <c r="K175" s="115">
        <f t="shared" si="73"/>
        <v>79834.276589999994</v>
      </c>
      <c r="L175" s="115">
        <f t="shared" si="73"/>
        <v>479005.65954000002</v>
      </c>
      <c r="N175" s="149">
        <f t="shared" si="63"/>
        <v>600.35941999999341</v>
      </c>
      <c r="P175" s="115">
        <f t="shared" si="72"/>
        <v>93669.00159</v>
      </c>
      <c r="R175" s="174"/>
    </row>
    <row r="176" spans="1:19" s="153" customFormat="1" ht="30" x14ac:dyDescent="0.25">
      <c r="A176" s="449"/>
      <c r="B176" s="474"/>
      <c r="C176" s="528"/>
      <c r="D176" s="124" t="s">
        <v>91</v>
      </c>
      <c r="E176" s="115">
        <f t="shared" si="68"/>
        <v>0</v>
      </c>
      <c r="F176" s="115">
        <f t="shared" si="73"/>
        <v>0</v>
      </c>
      <c r="G176" s="115">
        <f t="shared" si="73"/>
        <v>0</v>
      </c>
      <c r="H176" s="115">
        <f t="shared" si="73"/>
        <v>0</v>
      </c>
      <c r="I176" s="137">
        <f t="shared" si="73"/>
        <v>0</v>
      </c>
      <c r="J176" s="115">
        <f t="shared" si="73"/>
        <v>0</v>
      </c>
      <c r="K176" s="115">
        <f t="shared" si="73"/>
        <v>0</v>
      </c>
      <c r="L176" s="115">
        <f t="shared" si="73"/>
        <v>0</v>
      </c>
      <c r="N176" s="149">
        <f t="shared" si="63"/>
        <v>0</v>
      </c>
      <c r="P176" s="115">
        <f t="shared" si="72"/>
        <v>0</v>
      </c>
      <c r="R176" s="174"/>
    </row>
    <row r="177" spans="1:18" s="153" customFormat="1" x14ac:dyDescent="0.25">
      <c r="A177" s="449"/>
      <c r="B177" s="474"/>
      <c r="C177" s="528"/>
      <c r="D177" s="124" t="s">
        <v>90</v>
      </c>
      <c r="E177" s="115">
        <f t="shared" si="68"/>
        <v>0</v>
      </c>
      <c r="F177" s="115">
        <f t="shared" si="73"/>
        <v>0</v>
      </c>
      <c r="G177" s="115">
        <f t="shared" si="73"/>
        <v>0</v>
      </c>
      <c r="H177" s="115">
        <f t="shared" si="73"/>
        <v>0</v>
      </c>
      <c r="I177" s="137">
        <f t="shared" si="73"/>
        <v>0</v>
      </c>
      <c r="J177" s="115">
        <f t="shared" si="73"/>
        <v>0</v>
      </c>
      <c r="K177" s="115">
        <f t="shared" si="73"/>
        <v>0</v>
      </c>
      <c r="L177" s="115">
        <f t="shared" si="73"/>
        <v>0</v>
      </c>
      <c r="N177" s="149">
        <f t="shared" si="63"/>
        <v>0</v>
      </c>
      <c r="P177" s="115">
        <f t="shared" si="72"/>
        <v>0</v>
      </c>
      <c r="R177" s="174"/>
    </row>
    <row r="178" spans="1:18" s="153" customFormat="1" x14ac:dyDescent="0.25">
      <c r="A178" s="449"/>
      <c r="B178" s="474"/>
      <c r="C178" s="529"/>
      <c r="D178" s="114" t="s">
        <v>18</v>
      </c>
      <c r="E178" s="115">
        <f t="shared" si="68"/>
        <v>164262.5554754411</v>
      </c>
      <c r="F178" s="115">
        <f t="shared" si="73"/>
        <v>0</v>
      </c>
      <c r="G178" s="115">
        <f t="shared" si="73"/>
        <v>0</v>
      </c>
      <c r="H178" s="115">
        <f t="shared" si="73"/>
        <v>0</v>
      </c>
      <c r="I178" s="137">
        <f t="shared" si="73"/>
        <v>7192.7573799999991</v>
      </c>
      <c r="J178" s="115">
        <f t="shared" si="73"/>
        <v>13920.33745257</v>
      </c>
      <c r="K178" s="115">
        <f t="shared" si="73"/>
        <v>19772.024950672807</v>
      </c>
      <c r="L178" s="115">
        <f t="shared" si="73"/>
        <v>123377.43569219828</v>
      </c>
      <c r="N178" s="149">
        <f t="shared" si="63"/>
        <v>2460.6160899999995</v>
      </c>
      <c r="P178" s="115">
        <f t="shared" si="72"/>
        <v>4732.1412899999996</v>
      </c>
      <c r="R178" s="174"/>
    </row>
    <row r="179" spans="1:18" x14ac:dyDescent="0.25">
      <c r="A179" s="449"/>
      <c r="B179" s="474"/>
      <c r="C179" s="445" t="s">
        <v>125</v>
      </c>
      <c r="D179" s="106" t="s">
        <v>12</v>
      </c>
      <c r="E179" s="28">
        <f t="shared" ref="E179:E192" si="74">SUM(F179:L179)</f>
        <v>470742.0671620834</v>
      </c>
      <c r="F179" s="71">
        <f t="shared" ref="F179:H179" si="75">SUM(F180:F185)</f>
        <v>92851.372900000002</v>
      </c>
      <c r="G179" s="28">
        <f t="shared" si="75"/>
        <v>92018.475919999997</v>
      </c>
      <c r="H179" s="28">
        <f t="shared" si="75"/>
        <v>28346.295800000007</v>
      </c>
      <c r="I179" s="130">
        <f>SUM(I180:I185)</f>
        <v>28418.727790000001</v>
      </c>
      <c r="J179" s="28">
        <f t="shared" ref="J179:L179" si="76">SUM(J180:J185)</f>
        <v>28464.12333481</v>
      </c>
      <c r="K179" s="28">
        <f t="shared" si="76"/>
        <v>28569.426059402402</v>
      </c>
      <c r="L179" s="28">
        <f t="shared" si="76"/>
        <v>172073.64535787096</v>
      </c>
      <c r="N179" s="46">
        <f t="shared" si="63"/>
        <v>0</v>
      </c>
      <c r="P179" s="28">
        <f>SUM(P180:P185)</f>
        <v>28418.727789999997</v>
      </c>
    </row>
    <row r="180" spans="1:18" x14ac:dyDescent="0.25">
      <c r="A180" s="449"/>
      <c r="B180" s="474"/>
      <c r="C180" s="446"/>
      <c r="D180" s="106" t="s">
        <v>13</v>
      </c>
      <c r="E180" s="28">
        <f t="shared" si="74"/>
        <v>0</v>
      </c>
      <c r="F180" s="33">
        <v>0</v>
      </c>
      <c r="G180" s="33">
        <v>0</v>
      </c>
      <c r="H180" s="33">
        <v>0</v>
      </c>
      <c r="I180" s="130">
        <v>0</v>
      </c>
      <c r="J180" s="33">
        <v>0</v>
      </c>
      <c r="K180" s="33">
        <v>0</v>
      </c>
      <c r="L180" s="33">
        <v>0</v>
      </c>
      <c r="N180" s="46">
        <f t="shared" si="63"/>
        <v>0</v>
      </c>
      <c r="P180" s="33">
        <v>0</v>
      </c>
    </row>
    <row r="181" spans="1:18" x14ac:dyDescent="0.25">
      <c r="A181" s="449"/>
      <c r="B181" s="474"/>
      <c r="C181" s="446"/>
      <c r="D181" s="106" t="s">
        <v>14</v>
      </c>
      <c r="E181" s="28">
        <f t="shared" si="74"/>
        <v>0</v>
      </c>
      <c r="F181" s="33">
        <v>0</v>
      </c>
      <c r="G181" s="33">
        <v>0</v>
      </c>
      <c r="H181" s="33">
        <v>0</v>
      </c>
      <c r="I181" s="130">
        <v>0</v>
      </c>
      <c r="J181" s="33">
        <v>0</v>
      </c>
      <c r="K181" s="33">
        <v>0</v>
      </c>
      <c r="L181" s="33">
        <v>0</v>
      </c>
      <c r="N181" s="46">
        <f t="shared" si="63"/>
        <v>0</v>
      </c>
      <c r="P181" s="33">
        <v>0</v>
      </c>
    </row>
    <row r="182" spans="1:18" x14ac:dyDescent="0.25">
      <c r="A182" s="449"/>
      <c r="B182" s="474"/>
      <c r="C182" s="446"/>
      <c r="D182" s="106" t="s">
        <v>15</v>
      </c>
      <c r="E182" s="28">
        <f t="shared" si="74"/>
        <v>448479.24159999995</v>
      </c>
      <c r="F182" s="74">
        <f>82544.55051+66.45686+9630.86553+269.5+340</f>
        <v>92851.372900000002</v>
      </c>
      <c r="G182" s="33">
        <f>91909.77592-1-22+2680+637-350.3-2835</f>
        <v>92018.475919999997</v>
      </c>
      <c r="H182" s="33">
        <f>100174.59561-71828.29981</f>
        <v>28346.295800000007</v>
      </c>
      <c r="I182" s="130">
        <f>27399.10522</f>
        <v>27399.105220000001</v>
      </c>
      <c r="J182" s="33">
        <f>84925.50159-57882.39637</f>
        <v>27043.105219999998</v>
      </c>
      <c r="K182" s="33">
        <f>79834.27659-54002.72137</f>
        <v>25831.555219999995</v>
      </c>
      <c r="L182" s="33">
        <f>K182*6</f>
        <v>154989.33131999997</v>
      </c>
      <c r="N182" s="46">
        <f t="shared" si="63"/>
        <v>0</v>
      </c>
      <c r="O182" s="21" t="s">
        <v>234</v>
      </c>
      <c r="P182" s="33">
        <f>93669.00159-66269.89637</f>
        <v>27399.105219999998</v>
      </c>
    </row>
    <row r="183" spans="1:18" ht="30" x14ac:dyDescent="0.25">
      <c r="A183" s="449"/>
      <c r="B183" s="474"/>
      <c r="C183" s="446"/>
      <c r="D183" s="105" t="s">
        <v>91</v>
      </c>
      <c r="E183" s="28">
        <f t="shared" si="74"/>
        <v>0</v>
      </c>
      <c r="F183" s="33">
        <v>0</v>
      </c>
      <c r="G183" s="33">
        <v>0</v>
      </c>
      <c r="H183" s="33">
        <v>0</v>
      </c>
      <c r="I183" s="130">
        <v>0</v>
      </c>
      <c r="J183" s="33">
        <v>0</v>
      </c>
      <c r="K183" s="33">
        <v>0</v>
      </c>
      <c r="L183" s="33">
        <v>0</v>
      </c>
      <c r="N183" s="46">
        <f t="shared" si="63"/>
        <v>0</v>
      </c>
      <c r="P183" s="33">
        <v>0</v>
      </c>
    </row>
    <row r="184" spans="1:18" x14ac:dyDescent="0.25">
      <c r="A184" s="449"/>
      <c r="B184" s="474"/>
      <c r="C184" s="446"/>
      <c r="D184" s="105" t="s">
        <v>90</v>
      </c>
      <c r="E184" s="28">
        <f t="shared" si="74"/>
        <v>0</v>
      </c>
      <c r="F184" s="33">
        <v>0</v>
      </c>
      <c r="G184" s="33">
        <v>0</v>
      </c>
      <c r="H184" s="33">
        <v>0</v>
      </c>
      <c r="I184" s="175">
        <v>0</v>
      </c>
      <c r="J184" s="33">
        <v>0</v>
      </c>
      <c r="K184" s="33">
        <v>0</v>
      </c>
      <c r="L184" s="33">
        <v>0</v>
      </c>
      <c r="N184" s="46">
        <f t="shared" si="63"/>
        <v>0</v>
      </c>
      <c r="P184" s="65">
        <v>0</v>
      </c>
    </row>
    <row r="185" spans="1:18" s="127" customFormat="1" x14ac:dyDescent="0.25">
      <c r="A185" s="449"/>
      <c r="B185" s="474"/>
      <c r="C185" s="447"/>
      <c r="D185" s="109" t="s">
        <v>18</v>
      </c>
      <c r="E185" s="110">
        <f t="shared" si="74"/>
        <v>22262.82556208341</v>
      </c>
      <c r="F185" s="111">
        <v>0</v>
      </c>
      <c r="G185" s="111">
        <v>0</v>
      </c>
      <c r="H185" s="176">
        <v>0</v>
      </c>
      <c r="I185" s="157">
        <f>4732.14129-3712.51872</f>
        <v>1019.6225699999995</v>
      </c>
      <c r="J185" s="161">
        <v>1421.01811481</v>
      </c>
      <c r="K185" s="161">
        <f>(J179-K182)*104%</f>
        <v>2737.8708394024052</v>
      </c>
      <c r="L185" s="126">
        <f>(K179*6-L182)*104%</f>
        <v>17084.314037871005</v>
      </c>
      <c r="N185" s="134">
        <f t="shared" si="63"/>
        <v>0</v>
      </c>
      <c r="O185" s="173"/>
      <c r="P185" s="123">
        <f>4732.14129-3712.51872</f>
        <v>1019.6225699999995</v>
      </c>
      <c r="R185" s="135"/>
    </row>
    <row r="186" spans="1:18" x14ac:dyDescent="0.25">
      <c r="A186" s="449"/>
      <c r="B186" s="474"/>
      <c r="C186" s="445" t="s">
        <v>197</v>
      </c>
      <c r="D186" s="106" t="s">
        <v>12</v>
      </c>
      <c r="E186" s="28">
        <f t="shared" si="74"/>
        <v>716599.73147335765</v>
      </c>
      <c r="F186" s="33">
        <f t="shared" ref="F186:H186" si="77">SUM(F187:F192)</f>
        <v>0</v>
      </c>
      <c r="G186" s="33">
        <f t="shared" si="77"/>
        <v>0</v>
      </c>
      <c r="H186" s="33">
        <f t="shared" si="77"/>
        <v>71828.299809999997</v>
      </c>
      <c r="I186" s="130">
        <f>SUM(I187:I192)</f>
        <v>73043.390599999999</v>
      </c>
      <c r="J186" s="33">
        <f t="shared" ref="J186:L186" si="78">SUM(J187:J192)</f>
        <v>70381.715707759999</v>
      </c>
      <c r="K186" s="33">
        <f t="shared" si="78"/>
        <v>71036.875481270399</v>
      </c>
      <c r="L186" s="33">
        <f t="shared" si="78"/>
        <v>430309.44987432729</v>
      </c>
      <c r="N186" s="46">
        <f t="shared" si="63"/>
        <v>3060.9755100000039</v>
      </c>
      <c r="P186" s="33">
        <f>SUM(P187:P192)</f>
        <v>69982.415089999995</v>
      </c>
    </row>
    <row r="187" spans="1:18" x14ac:dyDescent="0.25">
      <c r="A187" s="449"/>
      <c r="B187" s="474"/>
      <c r="C187" s="446"/>
      <c r="D187" s="106" t="s">
        <v>13</v>
      </c>
      <c r="E187" s="28">
        <f t="shared" si="74"/>
        <v>0</v>
      </c>
      <c r="F187" s="33"/>
      <c r="G187" s="33"/>
      <c r="H187" s="66"/>
      <c r="I187" s="158"/>
      <c r="J187" s="64"/>
      <c r="K187" s="33"/>
      <c r="L187" s="64"/>
      <c r="N187" s="46">
        <f t="shared" si="63"/>
        <v>0</v>
      </c>
      <c r="P187" s="31"/>
    </row>
    <row r="188" spans="1:18" x14ac:dyDescent="0.25">
      <c r="A188" s="449"/>
      <c r="B188" s="474"/>
      <c r="C188" s="446"/>
      <c r="D188" s="106" t="s">
        <v>14</v>
      </c>
      <c r="E188" s="28">
        <f t="shared" si="74"/>
        <v>0</v>
      </c>
      <c r="F188" s="33"/>
      <c r="G188" s="33"/>
      <c r="H188" s="66"/>
      <c r="I188" s="158"/>
      <c r="J188" s="64"/>
      <c r="K188" s="33"/>
      <c r="L188" s="64"/>
      <c r="N188" s="46">
        <f t="shared" si="63"/>
        <v>0</v>
      </c>
      <c r="P188" s="31"/>
    </row>
    <row r="189" spans="1:18" x14ac:dyDescent="0.25">
      <c r="A189" s="449"/>
      <c r="B189" s="474"/>
      <c r="C189" s="446"/>
      <c r="D189" s="106" t="s">
        <v>15</v>
      </c>
      <c r="E189" s="28">
        <f t="shared" si="74"/>
        <v>574600.00156</v>
      </c>
      <c r="F189" s="33"/>
      <c r="G189" s="33"/>
      <c r="H189" s="66">
        <v>71828.299809999997</v>
      </c>
      <c r="I189" s="159">
        <f>66269.89637+600.35942</f>
        <v>66870.255789999996</v>
      </c>
      <c r="J189" s="64">
        <v>57882.396370000002</v>
      </c>
      <c r="K189" s="33">
        <v>54002.721369999999</v>
      </c>
      <c r="L189" s="64">
        <f>K189*6</f>
        <v>324016.32822000002</v>
      </c>
      <c r="N189" s="46">
        <f t="shared" si="63"/>
        <v>600.35941999999341</v>
      </c>
      <c r="O189" s="21" t="s">
        <v>250</v>
      </c>
      <c r="P189" s="31">
        <v>66269.896370000002</v>
      </c>
      <c r="Q189" s="21" t="s">
        <v>265</v>
      </c>
      <c r="R189" s="88">
        <v>600.35942</v>
      </c>
    </row>
    <row r="190" spans="1:18" ht="30" x14ac:dyDescent="0.25">
      <c r="A190" s="449"/>
      <c r="B190" s="474"/>
      <c r="C190" s="446"/>
      <c r="D190" s="105" t="s">
        <v>91</v>
      </c>
      <c r="E190" s="28">
        <f t="shared" si="74"/>
        <v>0</v>
      </c>
      <c r="F190" s="33"/>
      <c r="G190" s="33"/>
      <c r="H190" s="66"/>
      <c r="I190" s="158"/>
      <c r="J190" s="64"/>
      <c r="K190" s="33"/>
      <c r="L190" s="64"/>
      <c r="N190" s="46">
        <f t="shared" si="63"/>
        <v>0</v>
      </c>
      <c r="P190" s="31"/>
    </row>
    <row r="191" spans="1:18" x14ac:dyDescent="0.25">
      <c r="A191" s="449"/>
      <c r="B191" s="474"/>
      <c r="C191" s="446"/>
      <c r="D191" s="105" t="s">
        <v>90</v>
      </c>
      <c r="E191" s="28">
        <f t="shared" si="74"/>
        <v>0</v>
      </c>
      <c r="F191" s="33"/>
      <c r="G191" s="33"/>
      <c r="H191" s="66"/>
      <c r="I191" s="158"/>
      <c r="J191" s="64"/>
      <c r="K191" s="33"/>
      <c r="L191" s="64"/>
      <c r="N191" s="46">
        <f t="shared" si="63"/>
        <v>0</v>
      </c>
      <c r="P191" s="31"/>
    </row>
    <row r="192" spans="1:18" s="127" customFormat="1" x14ac:dyDescent="0.25">
      <c r="A192" s="450"/>
      <c r="B192" s="475"/>
      <c r="C192" s="447"/>
      <c r="D192" s="109" t="s">
        <v>18</v>
      </c>
      <c r="E192" s="110">
        <f t="shared" si="74"/>
        <v>141999.72991335767</v>
      </c>
      <c r="F192" s="111"/>
      <c r="G192" s="111"/>
      <c r="H192" s="176"/>
      <c r="I192" s="177">
        <f>3712.51872+2460.61609</f>
        <v>6173.1348099999996</v>
      </c>
      <c r="J192" s="161">
        <v>12499.31933776</v>
      </c>
      <c r="K192" s="161">
        <f>(J186-K189)*104%</f>
        <v>17034.1541112704</v>
      </c>
      <c r="L192" s="126">
        <f>(K186*6-L189)*104%</f>
        <v>106293.12165432727</v>
      </c>
      <c r="N192" s="134">
        <f t="shared" si="63"/>
        <v>2460.6160899999995</v>
      </c>
      <c r="O192" s="173" t="s">
        <v>277</v>
      </c>
      <c r="P192" s="163">
        <v>3712.51872</v>
      </c>
      <c r="R192" s="135"/>
    </row>
    <row r="193" spans="1:18" x14ac:dyDescent="0.25">
      <c r="A193" s="448" t="s">
        <v>127</v>
      </c>
      <c r="B193" s="467" t="s">
        <v>190</v>
      </c>
      <c r="C193" s="457" t="s">
        <v>125</v>
      </c>
      <c r="D193" s="106" t="s">
        <v>12</v>
      </c>
      <c r="E193" s="28">
        <f t="shared" si="68"/>
        <v>770</v>
      </c>
      <c r="F193" s="33">
        <f t="shared" ref="F193:H193" si="79">SUM(F194:F199)</f>
        <v>0</v>
      </c>
      <c r="G193" s="33">
        <f>SUM(G194:G199)</f>
        <v>70</v>
      </c>
      <c r="H193" s="33">
        <f t="shared" si="79"/>
        <v>70</v>
      </c>
      <c r="I193" s="142">
        <f>SUM(I194:I199)</f>
        <v>70</v>
      </c>
      <c r="J193" s="33">
        <f t="shared" ref="J193:L193" si="80">SUM(J194:J199)</f>
        <v>70</v>
      </c>
      <c r="K193" s="33">
        <f t="shared" si="80"/>
        <v>70</v>
      </c>
      <c r="L193" s="33">
        <f t="shared" si="80"/>
        <v>420</v>
      </c>
      <c r="N193" s="46">
        <f t="shared" si="63"/>
        <v>0</v>
      </c>
      <c r="O193" s="102"/>
      <c r="P193" s="63">
        <f>SUM(P194:P199)</f>
        <v>70</v>
      </c>
    </row>
    <row r="194" spans="1:18" x14ac:dyDescent="0.25">
      <c r="A194" s="449"/>
      <c r="B194" s="468"/>
      <c r="C194" s="457"/>
      <c r="D194" s="106" t="s">
        <v>13</v>
      </c>
      <c r="E194" s="28">
        <f t="shared" si="68"/>
        <v>0</v>
      </c>
      <c r="F194" s="28">
        <v>0</v>
      </c>
      <c r="G194" s="28">
        <v>0</v>
      </c>
      <c r="H194" s="28">
        <v>0</v>
      </c>
      <c r="I194" s="130">
        <v>0</v>
      </c>
      <c r="J194" s="28">
        <v>0</v>
      </c>
      <c r="K194" s="28">
        <v>0</v>
      </c>
      <c r="L194" s="28">
        <v>0</v>
      </c>
      <c r="N194" s="46">
        <f t="shared" si="63"/>
        <v>0</v>
      </c>
      <c r="P194" s="28">
        <v>0</v>
      </c>
    </row>
    <row r="195" spans="1:18" x14ac:dyDescent="0.25">
      <c r="A195" s="449"/>
      <c r="B195" s="468"/>
      <c r="C195" s="457"/>
      <c r="D195" s="106" t="s">
        <v>14</v>
      </c>
      <c r="E195" s="28">
        <f t="shared" si="68"/>
        <v>0</v>
      </c>
      <c r="F195" s="28">
        <v>0</v>
      </c>
      <c r="G195" s="28">
        <v>0</v>
      </c>
      <c r="H195" s="28">
        <v>0</v>
      </c>
      <c r="I195" s="130">
        <v>0</v>
      </c>
      <c r="J195" s="28">
        <v>0</v>
      </c>
      <c r="K195" s="28">
        <v>0</v>
      </c>
      <c r="L195" s="28">
        <v>0</v>
      </c>
      <c r="N195" s="46">
        <f t="shared" si="63"/>
        <v>0</v>
      </c>
      <c r="P195" s="28">
        <v>0</v>
      </c>
    </row>
    <row r="196" spans="1:18" x14ac:dyDescent="0.25">
      <c r="A196" s="449"/>
      <c r="B196" s="468"/>
      <c r="C196" s="457"/>
      <c r="D196" s="106" t="s">
        <v>15</v>
      </c>
      <c r="E196" s="28">
        <f t="shared" si="68"/>
        <v>770</v>
      </c>
      <c r="F196" s="28">
        <v>0</v>
      </c>
      <c r="G196" s="28">
        <v>70</v>
      </c>
      <c r="H196" s="28">
        <v>70</v>
      </c>
      <c r="I196" s="130">
        <v>70</v>
      </c>
      <c r="J196" s="28">
        <v>70</v>
      </c>
      <c r="K196" s="28">
        <v>70</v>
      </c>
      <c r="L196" s="28">
        <f>K196*6</f>
        <v>420</v>
      </c>
      <c r="N196" s="46">
        <f t="shared" si="63"/>
        <v>0</v>
      </c>
      <c r="P196" s="28">
        <v>70</v>
      </c>
    </row>
    <row r="197" spans="1:18" ht="30" x14ac:dyDescent="0.25">
      <c r="A197" s="449"/>
      <c r="B197" s="468"/>
      <c r="C197" s="457"/>
      <c r="D197" s="105" t="s">
        <v>91</v>
      </c>
      <c r="E197" s="28">
        <f t="shared" si="68"/>
        <v>0</v>
      </c>
      <c r="F197" s="28">
        <v>0</v>
      </c>
      <c r="G197" s="28">
        <v>0</v>
      </c>
      <c r="H197" s="28">
        <v>0</v>
      </c>
      <c r="I197" s="130">
        <v>0</v>
      </c>
      <c r="J197" s="28">
        <v>0</v>
      </c>
      <c r="K197" s="28">
        <v>0</v>
      </c>
      <c r="L197" s="28">
        <v>0</v>
      </c>
      <c r="N197" s="46">
        <f t="shared" si="63"/>
        <v>0</v>
      </c>
      <c r="P197" s="28">
        <v>0</v>
      </c>
    </row>
    <row r="198" spans="1:18" x14ac:dyDescent="0.25">
      <c r="A198" s="449"/>
      <c r="B198" s="468"/>
      <c r="C198" s="457"/>
      <c r="D198" s="105" t="s">
        <v>90</v>
      </c>
      <c r="E198" s="28">
        <f t="shared" si="68"/>
        <v>0</v>
      </c>
      <c r="F198" s="28">
        <v>0</v>
      </c>
      <c r="G198" s="28">
        <v>0</v>
      </c>
      <c r="H198" s="28">
        <v>0</v>
      </c>
      <c r="I198" s="130">
        <v>0</v>
      </c>
      <c r="J198" s="28">
        <v>0</v>
      </c>
      <c r="K198" s="28">
        <v>0</v>
      </c>
      <c r="L198" s="28">
        <v>0</v>
      </c>
      <c r="N198" s="46">
        <f t="shared" si="63"/>
        <v>0</v>
      </c>
      <c r="P198" s="28">
        <v>0</v>
      </c>
    </row>
    <row r="199" spans="1:18" s="127" customFormat="1" x14ac:dyDescent="0.25">
      <c r="A199" s="450"/>
      <c r="B199" s="469"/>
      <c r="C199" s="457"/>
      <c r="D199" s="109" t="s">
        <v>18</v>
      </c>
      <c r="E199" s="110">
        <f t="shared" si="68"/>
        <v>0</v>
      </c>
      <c r="F199" s="110">
        <v>0</v>
      </c>
      <c r="G199" s="110">
        <v>0</v>
      </c>
      <c r="H199" s="110">
        <v>0</v>
      </c>
      <c r="I199" s="133">
        <v>0</v>
      </c>
      <c r="J199" s="110">
        <v>0</v>
      </c>
      <c r="K199" s="110">
        <v>0</v>
      </c>
      <c r="L199" s="110">
        <v>0</v>
      </c>
      <c r="N199" s="134">
        <f t="shared" si="63"/>
        <v>0</v>
      </c>
      <c r="P199" s="110">
        <v>0</v>
      </c>
      <c r="R199" s="135"/>
    </row>
    <row r="200" spans="1:18" s="127" customFormat="1" x14ac:dyDescent="0.25">
      <c r="A200" s="458" t="s">
        <v>128</v>
      </c>
      <c r="B200" s="459"/>
      <c r="C200" s="460"/>
      <c r="D200" s="109" t="s">
        <v>12</v>
      </c>
      <c r="E200" s="110">
        <f t="shared" si="68"/>
        <v>1188111.7986354409</v>
      </c>
      <c r="F200" s="143">
        <f t="shared" ref="F200:H200" si="81">SUM(F201:F206)</f>
        <v>92851.372900000002</v>
      </c>
      <c r="G200" s="110">
        <f t="shared" si="81"/>
        <v>92088.475919999997</v>
      </c>
      <c r="H200" s="110">
        <f t="shared" si="81"/>
        <v>100244.59561</v>
      </c>
      <c r="I200" s="133">
        <f>SUM(I201:I206)</f>
        <v>101532.11838999999</v>
      </c>
      <c r="J200" s="110">
        <f t="shared" ref="J200:L200" si="82">SUM(J201:J206)</f>
        <v>98915.839042570005</v>
      </c>
      <c r="K200" s="110">
        <f t="shared" si="82"/>
        <v>99676.301540672808</v>
      </c>
      <c r="L200" s="110">
        <f t="shared" si="82"/>
        <v>602803.09523219825</v>
      </c>
      <c r="N200" s="134">
        <f t="shared" si="63"/>
        <v>3060.9755099999893</v>
      </c>
      <c r="P200" s="110">
        <f>SUM(P201:P206)</f>
        <v>98471.142879999999</v>
      </c>
      <c r="R200" s="135"/>
    </row>
    <row r="201" spans="1:18" s="127" customFormat="1" x14ac:dyDescent="0.25">
      <c r="A201" s="461"/>
      <c r="B201" s="462"/>
      <c r="C201" s="463"/>
      <c r="D201" s="109" t="s">
        <v>13</v>
      </c>
      <c r="E201" s="110">
        <f t="shared" si="68"/>
        <v>0</v>
      </c>
      <c r="F201" s="110">
        <f>F173+F194</f>
        <v>0</v>
      </c>
      <c r="G201" s="110">
        <f t="shared" ref="G201:H201" si="83">G173+G194</f>
        <v>0</v>
      </c>
      <c r="H201" s="110">
        <f t="shared" si="83"/>
        <v>0</v>
      </c>
      <c r="I201" s="133">
        <f>I173+I194</f>
        <v>0</v>
      </c>
      <c r="J201" s="110">
        <f t="shared" ref="J201:L201" si="84">J173+J194</f>
        <v>0</v>
      </c>
      <c r="K201" s="110">
        <f t="shared" si="84"/>
        <v>0</v>
      </c>
      <c r="L201" s="110">
        <f t="shared" si="84"/>
        <v>0</v>
      </c>
      <c r="N201" s="134">
        <f t="shared" si="63"/>
        <v>0</v>
      </c>
      <c r="P201" s="110">
        <f>P173+P194</f>
        <v>0</v>
      </c>
      <c r="R201" s="135"/>
    </row>
    <row r="202" spans="1:18" s="127" customFormat="1" x14ac:dyDescent="0.25">
      <c r="A202" s="461"/>
      <c r="B202" s="462"/>
      <c r="C202" s="463"/>
      <c r="D202" s="109" t="s">
        <v>14</v>
      </c>
      <c r="E202" s="110">
        <f t="shared" si="68"/>
        <v>0</v>
      </c>
      <c r="F202" s="110">
        <f t="shared" ref="F202:L206" si="85">F174+F195</f>
        <v>0</v>
      </c>
      <c r="G202" s="110">
        <f t="shared" si="85"/>
        <v>0</v>
      </c>
      <c r="H202" s="110">
        <f t="shared" si="85"/>
        <v>0</v>
      </c>
      <c r="I202" s="133">
        <f t="shared" si="85"/>
        <v>0</v>
      </c>
      <c r="J202" s="110">
        <f t="shared" si="85"/>
        <v>0</v>
      </c>
      <c r="K202" s="110">
        <f t="shared" si="85"/>
        <v>0</v>
      </c>
      <c r="L202" s="110">
        <f t="shared" si="85"/>
        <v>0</v>
      </c>
      <c r="N202" s="134">
        <f t="shared" si="63"/>
        <v>0</v>
      </c>
      <c r="P202" s="110">
        <f t="shared" ref="P202:P206" si="86">P174+P195</f>
        <v>0</v>
      </c>
      <c r="R202" s="135"/>
    </row>
    <row r="203" spans="1:18" s="127" customFormat="1" x14ac:dyDescent="0.25">
      <c r="A203" s="461"/>
      <c r="B203" s="462"/>
      <c r="C203" s="463"/>
      <c r="D203" s="109" t="s">
        <v>15</v>
      </c>
      <c r="E203" s="110">
        <f t="shared" si="68"/>
        <v>1023849.2431600001</v>
      </c>
      <c r="F203" s="143">
        <f t="shared" si="85"/>
        <v>92851.372900000002</v>
      </c>
      <c r="G203" s="110">
        <f t="shared" si="85"/>
        <v>92088.475919999997</v>
      </c>
      <c r="H203" s="110">
        <f t="shared" si="85"/>
        <v>100244.59561</v>
      </c>
      <c r="I203" s="133">
        <f t="shared" si="85"/>
        <v>94339.361009999993</v>
      </c>
      <c r="J203" s="110">
        <f t="shared" si="85"/>
        <v>84995.50159</v>
      </c>
      <c r="K203" s="110">
        <f t="shared" si="85"/>
        <v>79904.276589999994</v>
      </c>
      <c r="L203" s="110">
        <f t="shared" si="85"/>
        <v>479425.65954000002</v>
      </c>
      <c r="N203" s="134">
        <f t="shared" si="63"/>
        <v>600.35941999999341</v>
      </c>
      <c r="P203" s="110">
        <f t="shared" si="86"/>
        <v>93739.00159</v>
      </c>
      <c r="R203" s="135"/>
    </row>
    <row r="204" spans="1:18" s="127" customFormat="1" ht="30" x14ac:dyDescent="0.25">
      <c r="A204" s="461"/>
      <c r="B204" s="462"/>
      <c r="C204" s="463"/>
      <c r="D204" s="113" t="s">
        <v>91</v>
      </c>
      <c r="E204" s="110">
        <f t="shared" si="68"/>
        <v>0</v>
      </c>
      <c r="F204" s="110">
        <f t="shared" si="85"/>
        <v>0</v>
      </c>
      <c r="G204" s="110">
        <f t="shared" si="85"/>
        <v>0</v>
      </c>
      <c r="H204" s="110">
        <f t="shared" si="85"/>
        <v>0</v>
      </c>
      <c r="I204" s="133">
        <f t="shared" si="85"/>
        <v>0</v>
      </c>
      <c r="J204" s="110">
        <f t="shared" si="85"/>
        <v>0</v>
      </c>
      <c r="K204" s="110">
        <f t="shared" si="85"/>
        <v>0</v>
      </c>
      <c r="L204" s="110">
        <f t="shared" si="85"/>
        <v>0</v>
      </c>
      <c r="N204" s="134">
        <f t="shared" si="63"/>
        <v>0</v>
      </c>
      <c r="P204" s="110">
        <f t="shared" si="86"/>
        <v>0</v>
      </c>
      <c r="R204" s="135"/>
    </row>
    <row r="205" spans="1:18" s="127" customFormat="1" x14ac:dyDescent="0.25">
      <c r="A205" s="461"/>
      <c r="B205" s="462"/>
      <c r="C205" s="463"/>
      <c r="D205" s="113" t="s">
        <v>90</v>
      </c>
      <c r="E205" s="110">
        <f t="shared" si="68"/>
        <v>0</v>
      </c>
      <c r="F205" s="110">
        <f t="shared" si="85"/>
        <v>0</v>
      </c>
      <c r="G205" s="110">
        <f t="shared" si="85"/>
        <v>0</v>
      </c>
      <c r="H205" s="110">
        <f t="shared" si="85"/>
        <v>0</v>
      </c>
      <c r="I205" s="133">
        <f t="shared" si="85"/>
        <v>0</v>
      </c>
      <c r="J205" s="110">
        <f t="shared" si="85"/>
        <v>0</v>
      </c>
      <c r="K205" s="110">
        <f t="shared" si="85"/>
        <v>0</v>
      </c>
      <c r="L205" s="110">
        <f t="shared" si="85"/>
        <v>0</v>
      </c>
      <c r="N205" s="134">
        <f t="shared" si="63"/>
        <v>0</v>
      </c>
      <c r="P205" s="110">
        <f t="shared" si="86"/>
        <v>0</v>
      </c>
      <c r="R205" s="135"/>
    </row>
    <row r="206" spans="1:18" s="153" customFormat="1" x14ac:dyDescent="0.25">
      <c r="A206" s="464"/>
      <c r="B206" s="465"/>
      <c r="C206" s="466"/>
      <c r="D206" s="114" t="s">
        <v>18</v>
      </c>
      <c r="E206" s="115">
        <f t="shared" si="68"/>
        <v>164262.5554754411</v>
      </c>
      <c r="F206" s="115">
        <f t="shared" si="85"/>
        <v>0</v>
      </c>
      <c r="G206" s="115">
        <f t="shared" si="85"/>
        <v>0</v>
      </c>
      <c r="H206" s="115">
        <f t="shared" si="85"/>
        <v>0</v>
      </c>
      <c r="I206" s="137">
        <f t="shared" si="85"/>
        <v>7192.7573799999991</v>
      </c>
      <c r="J206" s="115">
        <f t="shared" si="85"/>
        <v>13920.33745257</v>
      </c>
      <c r="K206" s="115">
        <f t="shared" si="85"/>
        <v>19772.024950672807</v>
      </c>
      <c r="L206" s="115">
        <f t="shared" si="85"/>
        <v>123377.43569219828</v>
      </c>
      <c r="N206" s="149">
        <f t="shared" si="63"/>
        <v>2460.6160899999995</v>
      </c>
      <c r="P206" s="115">
        <f t="shared" si="86"/>
        <v>4732.1412899999996</v>
      </c>
      <c r="R206" s="174"/>
    </row>
    <row r="207" spans="1:18" s="180" customFormat="1" x14ac:dyDescent="0.25">
      <c r="A207" s="530" t="s">
        <v>93</v>
      </c>
      <c r="B207" s="531"/>
      <c r="C207" s="532"/>
      <c r="D207" s="120" t="s">
        <v>12</v>
      </c>
      <c r="E207" s="121">
        <f t="shared" ref="E207" si="87">SUM(F207:L207)</f>
        <v>7135804.4933650661</v>
      </c>
      <c r="F207" s="178">
        <f t="shared" ref="F207:H207" si="88">SUM(F208:F213)</f>
        <v>677622.10574000014</v>
      </c>
      <c r="G207" s="121">
        <f t="shared" si="88"/>
        <v>696859.24146000005</v>
      </c>
      <c r="H207" s="121">
        <f t="shared" si="88"/>
        <v>682112.50141999999</v>
      </c>
      <c r="I207" s="179">
        <f>SUM(I208:I213)</f>
        <v>950642.96961999987</v>
      </c>
      <c r="J207" s="121">
        <f t="shared" ref="J207:L207" si="89">SUM(J208:J213)</f>
        <v>654347.10985431005</v>
      </c>
      <c r="K207" s="121">
        <f t="shared" si="89"/>
        <v>486195.33299408236</v>
      </c>
      <c r="L207" s="121">
        <f t="shared" si="89"/>
        <v>2988025.2322766744</v>
      </c>
      <c r="N207" s="181">
        <f t="shared" si="63"/>
        <v>-29687.207420000108</v>
      </c>
      <c r="P207" s="121">
        <f>SUM(P208:P213)</f>
        <v>980330.17703999998</v>
      </c>
      <c r="R207" s="182"/>
    </row>
    <row r="208" spans="1:18" s="180" customFormat="1" x14ac:dyDescent="0.25">
      <c r="A208" s="533"/>
      <c r="B208" s="534"/>
      <c r="C208" s="535"/>
      <c r="D208" s="120" t="s">
        <v>13</v>
      </c>
      <c r="E208" s="121">
        <f t="shared" si="68"/>
        <v>8432.3000000000011</v>
      </c>
      <c r="F208" s="178">
        <f t="shared" ref="F208:L213" si="90">F73+F165+F201</f>
        <v>13.6</v>
      </c>
      <c r="G208" s="121">
        <f t="shared" si="90"/>
        <v>0</v>
      </c>
      <c r="H208" s="121">
        <f t="shared" si="90"/>
        <v>50.9</v>
      </c>
      <c r="I208" s="179">
        <f t="shared" si="90"/>
        <v>5082.6000000000004</v>
      </c>
      <c r="J208" s="122">
        <f t="shared" si="90"/>
        <v>3202.6</v>
      </c>
      <c r="K208" s="122">
        <f t="shared" si="90"/>
        <v>82.6</v>
      </c>
      <c r="L208" s="121">
        <f t="shared" si="90"/>
        <v>0</v>
      </c>
      <c r="N208" s="181">
        <f t="shared" si="63"/>
        <v>0</v>
      </c>
      <c r="P208" s="122">
        <f t="shared" ref="P208:P213" si="91">P73+P165+P201</f>
        <v>5082.6000000000004</v>
      </c>
      <c r="R208" s="182"/>
    </row>
    <row r="209" spans="1:18" s="180" customFormat="1" x14ac:dyDescent="0.25">
      <c r="A209" s="533"/>
      <c r="B209" s="534"/>
      <c r="C209" s="535"/>
      <c r="D209" s="120" t="s">
        <v>14</v>
      </c>
      <c r="E209" s="121">
        <f t="shared" si="68"/>
        <v>22247.50056</v>
      </c>
      <c r="F209" s="178">
        <f t="shared" si="90"/>
        <v>6558.7772700000005</v>
      </c>
      <c r="G209" s="121">
        <f t="shared" si="90"/>
        <v>4891.5</v>
      </c>
      <c r="H209" s="121">
        <f t="shared" si="90"/>
        <v>872.66728999999998</v>
      </c>
      <c r="I209" s="179">
        <f t="shared" si="90"/>
        <v>3003.2559999999999</v>
      </c>
      <c r="J209" s="122">
        <f t="shared" si="90"/>
        <v>5535.1</v>
      </c>
      <c r="K209" s="122">
        <f t="shared" si="90"/>
        <v>1386.2</v>
      </c>
      <c r="L209" s="121">
        <f t="shared" si="90"/>
        <v>0</v>
      </c>
      <c r="N209" s="181">
        <f t="shared" si="63"/>
        <v>2099.6559999999999</v>
      </c>
      <c r="P209" s="122">
        <f t="shared" si="91"/>
        <v>903.59999999999991</v>
      </c>
      <c r="R209" s="182"/>
    </row>
    <row r="210" spans="1:18" s="180" customFormat="1" x14ac:dyDescent="0.25">
      <c r="A210" s="533"/>
      <c r="B210" s="534"/>
      <c r="C210" s="535"/>
      <c r="D210" s="120" t="s">
        <v>15</v>
      </c>
      <c r="E210" s="121">
        <f t="shared" si="68"/>
        <v>4968520.5989699997</v>
      </c>
      <c r="F210" s="178">
        <f t="shared" si="90"/>
        <v>671049.72847000009</v>
      </c>
      <c r="G210" s="121">
        <f t="shared" si="90"/>
        <v>691967.74146000005</v>
      </c>
      <c r="H210" s="121">
        <f t="shared" si="90"/>
        <v>681188.93412999995</v>
      </c>
      <c r="I210" s="179">
        <f t="shared" si="90"/>
        <v>691617.26302999991</v>
      </c>
      <c r="J210" s="121">
        <f t="shared" si="90"/>
        <v>294616.26835999999</v>
      </c>
      <c r="K210" s="121">
        <f t="shared" si="90"/>
        <v>276911.52335999999</v>
      </c>
      <c r="L210" s="121">
        <f t="shared" si="90"/>
        <v>1661169.14016</v>
      </c>
      <c r="N210" s="181">
        <f t="shared" si="63"/>
        <v>267428.59955999989</v>
      </c>
      <c r="P210" s="121">
        <f t="shared" si="91"/>
        <v>424188.66347000003</v>
      </c>
      <c r="R210" s="182"/>
    </row>
    <row r="211" spans="1:18" s="180" customFormat="1" ht="30" x14ac:dyDescent="0.25">
      <c r="A211" s="533"/>
      <c r="B211" s="534"/>
      <c r="C211" s="535"/>
      <c r="D211" s="183" t="s">
        <v>91</v>
      </c>
      <c r="E211" s="121">
        <f t="shared" si="68"/>
        <v>0</v>
      </c>
      <c r="F211" s="121">
        <f t="shared" si="90"/>
        <v>0</v>
      </c>
      <c r="G211" s="121">
        <f t="shared" si="90"/>
        <v>0</v>
      </c>
      <c r="H211" s="121">
        <f t="shared" si="90"/>
        <v>0</v>
      </c>
      <c r="I211" s="179">
        <f t="shared" si="90"/>
        <v>0</v>
      </c>
      <c r="J211" s="121">
        <f t="shared" si="90"/>
        <v>0</v>
      </c>
      <c r="K211" s="121">
        <f t="shared" si="90"/>
        <v>0</v>
      </c>
      <c r="L211" s="121">
        <f t="shared" si="90"/>
        <v>0</v>
      </c>
      <c r="N211" s="181">
        <f t="shared" si="63"/>
        <v>0</v>
      </c>
      <c r="P211" s="121">
        <f t="shared" si="91"/>
        <v>0</v>
      </c>
      <c r="R211" s="182"/>
    </row>
    <row r="212" spans="1:18" s="180" customFormat="1" x14ac:dyDescent="0.25">
      <c r="A212" s="533"/>
      <c r="B212" s="534"/>
      <c r="C212" s="535"/>
      <c r="D212" s="183" t="s">
        <v>90</v>
      </c>
      <c r="E212" s="121">
        <f t="shared" si="68"/>
        <v>0</v>
      </c>
      <c r="F212" s="121">
        <f t="shared" si="90"/>
        <v>0</v>
      </c>
      <c r="G212" s="121">
        <f t="shared" si="90"/>
        <v>0</v>
      </c>
      <c r="H212" s="121">
        <f t="shared" si="90"/>
        <v>0</v>
      </c>
      <c r="I212" s="179">
        <f t="shared" si="90"/>
        <v>0</v>
      </c>
      <c r="J212" s="121">
        <f t="shared" si="90"/>
        <v>0</v>
      </c>
      <c r="K212" s="121">
        <f t="shared" si="90"/>
        <v>0</v>
      </c>
      <c r="L212" s="121">
        <f t="shared" si="90"/>
        <v>0</v>
      </c>
      <c r="N212" s="181">
        <f t="shared" si="63"/>
        <v>0</v>
      </c>
      <c r="P212" s="121">
        <f t="shared" si="91"/>
        <v>0</v>
      </c>
      <c r="R212" s="182"/>
    </row>
    <row r="213" spans="1:18" s="180" customFormat="1" x14ac:dyDescent="0.25">
      <c r="A213" s="536"/>
      <c r="B213" s="537"/>
      <c r="C213" s="538"/>
      <c r="D213" s="120" t="s">
        <v>18</v>
      </c>
      <c r="E213" s="121">
        <f t="shared" si="68"/>
        <v>2136604.0938350665</v>
      </c>
      <c r="F213" s="121">
        <f t="shared" si="90"/>
        <v>0</v>
      </c>
      <c r="G213" s="121">
        <f t="shared" si="90"/>
        <v>0</v>
      </c>
      <c r="H213" s="121">
        <f t="shared" si="90"/>
        <v>0</v>
      </c>
      <c r="I213" s="179">
        <f t="shared" si="90"/>
        <v>250939.85058999999</v>
      </c>
      <c r="J213" s="121">
        <f t="shared" si="90"/>
        <v>350993.14149431</v>
      </c>
      <c r="K213" s="121">
        <f t="shared" si="90"/>
        <v>207815.00963408241</v>
      </c>
      <c r="L213" s="121">
        <f t="shared" si="90"/>
        <v>1326856.0921166742</v>
      </c>
      <c r="N213" s="181">
        <f t="shared" si="63"/>
        <v>-299215.46298000001</v>
      </c>
      <c r="P213" s="121">
        <f t="shared" si="91"/>
        <v>550155.31357</v>
      </c>
      <c r="R213" s="182"/>
    </row>
    <row r="214" spans="1:18" x14ac:dyDescent="0.25">
      <c r="A214" s="485" t="s">
        <v>94</v>
      </c>
      <c r="B214" s="486"/>
      <c r="C214" s="487"/>
      <c r="D214" s="106" t="s">
        <v>54</v>
      </c>
      <c r="E214" s="107" t="s">
        <v>54</v>
      </c>
      <c r="F214" s="107"/>
      <c r="G214" s="107"/>
      <c r="H214" s="107"/>
      <c r="I214" s="184" t="s">
        <v>54</v>
      </c>
      <c r="J214" s="107" t="s">
        <v>54</v>
      </c>
      <c r="K214" s="107"/>
      <c r="L214" s="107" t="s">
        <v>54</v>
      </c>
      <c r="N214" s="46" t="e">
        <f t="shared" si="63"/>
        <v>#VALUE!</v>
      </c>
      <c r="P214" s="107" t="s">
        <v>54</v>
      </c>
    </row>
    <row r="215" spans="1:18" s="29" customFormat="1" x14ac:dyDescent="0.25">
      <c r="A215" s="497" t="s">
        <v>95</v>
      </c>
      <c r="B215" s="498"/>
      <c r="C215" s="499"/>
      <c r="D215" s="106" t="s">
        <v>12</v>
      </c>
      <c r="E215" s="37">
        <f t="shared" si="68"/>
        <v>0</v>
      </c>
      <c r="F215" s="37">
        <f t="shared" ref="F215:L215" si="92">SUM(F216:F221)</f>
        <v>0</v>
      </c>
      <c r="G215" s="37">
        <f t="shared" si="92"/>
        <v>0</v>
      </c>
      <c r="H215" s="37">
        <f t="shared" si="92"/>
        <v>0</v>
      </c>
      <c r="I215" s="185">
        <f t="shared" si="92"/>
        <v>0</v>
      </c>
      <c r="J215" s="37">
        <f t="shared" si="92"/>
        <v>0</v>
      </c>
      <c r="K215" s="37">
        <f t="shared" si="92"/>
        <v>0</v>
      </c>
      <c r="L215" s="37">
        <f t="shared" si="92"/>
        <v>0</v>
      </c>
      <c r="M215" s="21"/>
      <c r="N215" s="46">
        <f t="shared" si="63"/>
        <v>0</v>
      </c>
      <c r="P215" s="37">
        <f t="shared" ref="P215" si="93">SUM(P216:P221)</f>
        <v>0</v>
      </c>
      <c r="R215" s="90"/>
    </row>
    <row r="216" spans="1:18" x14ac:dyDescent="0.25">
      <c r="A216" s="500"/>
      <c r="B216" s="501"/>
      <c r="C216" s="502"/>
      <c r="D216" s="106" t="s">
        <v>13</v>
      </c>
      <c r="E216" s="37">
        <f t="shared" si="68"/>
        <v>0</v>
      </c>
      <c r="F216" s="37">
        <f t="shared" ref="F216:L221" si="94">F10+F17+F31+F81+F24</f>
        <v>0</v>
      </c>
      <c r="G216" s="37">
        <f t="shared" si="94"/>
        <v>0</v>
      </c>
      <c r="H216" s="37">
        <f t="shared" si="94"/>
        <v>0</v>
      </c>
      <c r="I216" s="185">
        <f t="shared" si="94"/>
        <v>0</v>
      </c>
      <c r="J216" s="37">
        <f t="shared" si="94"/>
        <v>0</v>
      </c>
      <c r="K216" s="37">
        <f t="shared" si="94"/>
        <v>0</v>
      </c>
      <c r="L216" s="37">
        <f t="shared" si="94"/>
        <v>0</v>
      </c>
      <c r="N216" s="46">
        <f t="shared" si="63"/>
        <v>0</v>
      </c>
      <c r="P216" s="37">
        <f t="shared" ref="P216:P221" si="95">P10+P17+P31+P81+P24</f>
        <v>0</v>
      </c>
    </row>
    <row r="217" spans="1:18" x14ac:dyDescent="0.25">
      <c r="A217" s="500"/>
      <c r="B217" s="501"/>
      <c r="C217" s="502"/>
      <c r="D217" s="106" t="s">
        <v>14</v>
      </c>
      <c r="E217" s="37">
        <f t="shared" si="68"/>
        <v>0</v>
      </c>
      <c r="F217" s="37">
        <f t="shared" si="94"/>
        <v>0</v>
      </c>
      <c r="G217" s="37">
        <f t="shared" si="94"/>
        <v>0</v>
      </c>
      <c r="H217" s="37">
        <f t="shared" si="94"/>
        <v>0</v>
      </c>
      <c r="I217" s="185">
        <f t="shared" si="94"/>
        <v>0</v>
      </c>
      <c r="J217" s="37">
        <f t="shared" si="94"/>
        <v>0</v>
      </c>
      <c r="K217" s="37">
        <f t="shared" si="94"/>
        <v>0</v>
      </c>
      <c r="L217" s="37">
        <f t="shared" si="94"/>
        <v>0</v>
      </c>
      <c r="N217" s="46">
        <f t="shared" si="63"/>
        <v>0</v>
      </c>
      <c r="P217" s="37">
        <f t="shared" si="95"/>
        <v>0</v>
      </c>
    </row>
    <row r="218" spans="1:18" x14ac:dyDescent="0.25">
      <c r="A218" s="500"/>
      <c r="B218" s="501"/>
      <c r="C218" s="502"/>
      <c r="D218" s="106" t="s">
        <v>15</v>
      </c>
      <c r="E218" s="38">
        <f t="shared" si="68"/>
        <v>0</v>
      </c>
      <c r="F218" s="37">
        <f t="shared" si="94"/>
        <v>0</v>
      </c>
      <c r="G218" s="37">
        <f t="shared" si="94"/>
        <v>0</v>
      </c>
      <c r="H218" s="37">
        <f t="shared" si="94"/>
        <v>0</v>
      </c>
      <c r="I218" s="185">
        <f t="shared" si="94"/>
        <v>0</v>
      </c>
      <c r="J218" s="37">
        <f t="shared" si="94"/>
        <v>0</v>
      </c>
      <c r="K218" s="37">
        <f t="shared" si="94"/>
        <v>0</v>
      </c>
      <c r="L218" s="37">
        <f t="shared" si="94"/>
        <v>0</v>
      </c>
      <c r="N218" s="46">
        <f t="shared" si="63"/>
        <v>0</v>
      </c>
      <c r="P218" s="37">
        <f t="shared" si="95"/>
        <v>0</v>
      </c>
    </row>
    <row r="219" spans="1:18" ht="30" x14ac:dyDescent="0.25">
      <c r="A219" s="500"/>
      <c r="B219" s="501"/>
      <c r="C219" s="502"/>
      <c r="D219" s="105" t="s">
        <v>91</v>
      </c>
      <c r="E219" s="38">
        <f t="shared" si="68"/>
        <v>0</v>
      </c>
      <c r="F219" s="37">
        <f t="shared" si="94"/>
        <v>0</v>
      </c>
      <c r="G219" s="37">
        <f t="shared" si="94"/>
        <v>0</v>
      </c>
      <c r="H219" s="37">
        <f t="shared" si="94"/>
        <v>0</v>
      </c>
      <c r="I219" s="185">
        <f t="shared" si="94"/>
        <v>0</v>
      </c>
      <c r="J219" s="37">
        <f t="shared" si="94"/>
        <v>0</v>
      </c>
      <c r="K219" s="37">
        <f t="shared" si="94"/>
        <v>0</v>
      </c>
      <c r="L219" s="37">
        <f t="shared" si="94"/>
        <v>0</v>
      </c>
      <c r="N219" s="46">
        <f t="shared" si="63"/>
        <v>0</v>
      </c>
      <c r="P219" s="37">
        <f t="shared" si="95"/>
        <v>0</v>
      </c>
    </row>
    <row r="220" spans="1:18" x14ac:dyDescent="0.25">
      <c r="A220" s="500"/>
      <c r="B220" s="501"/>
      <c r="C220" s="502"/>
      <c r="D220" s="105" t="s">
        <v>90</v>
      </c>
      <c r="E220" s="38">
        <f t="shared" si="68"/>
        <v>0</v>
      </c>
      <c r="F220" s="37">
        <f t="shared" si="94"/>
        <v>0</v>
      </c>
      <c r="G220" s="37">
        <f t="shared" si="94"/>
        <v>0</v>
      </c>
      <c r="H220" s="37">
        <f t="shared" si="94"/>
        <v>0</v>
      </c>
      <c r="I220" s="185">
        <f t="shared" si="94"/>
        <v>0</v>
      </c>
      <c r="J220" s="37">
        <f t="shared" si="94"/>
        <v>0</v>
      </c>
      <c r="K220" s="37">
        <f t="shared" si="94"/>
        <v>0</v>
      </c>
      <c r="L220" s="37">
        <f t="shared" si="94"/>
        <v>0</v>
      </c>
      <c r="N220" s="46">
        <f t="shared" si="63"/>
        <v>0</v>
      </c>
      <c r="P220" s="37">
        <f t="shared" si="95"/>
        <v>0</v>
      </c>
    </row>
    <row r="221" spans="1:18" x14ac:dyDescent="0.25">
      <c r="A221" s="503"/>
      <c r="B221" s="504"/>
      <c r="C221" s="505"/>
      <c r="D221" s="106" t="s">
        <v>18</v>
      </c>
      <c r="E221" s="38">
        <f t="shared" si="68"/>
        <v>0</v>
      </c>
      <c r="F221" s="37">
        <f t="shared" si="94"/>
        <v>0</v>
      </c>
      <c r="G221" s="37">
        <f t="shared" si="94"/>
        <v>0</v>
      </c>
      <c r="H221" s="37">
        <f t="shared" si="94"/>
        <v>0</v>
      </c>
      <c r="I221" s="185">
        <f t="shared" si="94"/>
        <v>0</v>
      </c>
      <c r="J221" s="37">
        <f t="shared" si="94"/>
        <v>0</v>
      </c>
      <c r="K221" s="37">
        <f t="shared" si="94"/>
        <v>0</v>
      </c>
      <c r="L221" s="37">
        <f t="shared" si="94"/>
        <v>0</v>
      </c>
      <c r="N221" s="46">
        <f t="shared" si="63"/>
        <v>0</v>
      </c>
      <c r="P221" s="37">
        <f t="shared" si="95"/>
        <v>0</v>
      </c>
    </row>
    <row r="222" spans="1:18" s="29" customFormat="1" x14ac:dyDescent="0.25">
      <c r="A222" s="497" t="s">
        <v>96</v>
      </c>
      <c r="B222" s="498"/>
      <c r="C222" s="499"/>
      <c r="D222" s="106" t="s">
        <v>12</v>
      </c>
      <c r="E222" s="37">
        <f t="shared" si="68"/>
        <v>7135804.4933650661</v>
      </c>
      <c r="F222" s="75">
        <f t="shared" ref="F222:L222" si="96">SUM(F223:F228)</f>
        <v>677622.10574000014</v>
      </c>
      <c r="G222" s="37">
        <f t="shared" si="96"/>
        <v>696859.24146000005</v>
      </c>
      <c r="H222" s="37">
        <f t="shared" si="96"/>
        <v>682112.50141999999</v>
      </c>
      <c r="I222" s="185">
        <f t="shared" si="96"/>
        <v>950642.96961999987</v>
      </c>
      <c r="J222" s="37">
        <f t="shared" si="96"/>
        <v>654347.10985431005</v>
      </c>
      <c r="K222" s="37">
        <f t="shared" si="96"/>
        <v>486195.33299408236</v>
      </c>
      <c r="L222" s="37">
        <f t="shared" si="96"/>
        <v>2988025.2322766744</v>
      </c>
      <c r="M222" s="21"/>
      <c r="N222" s="46">
        <f t="shared" si="63"/>
        <v>-29687.207420000108</v>
      </c>
      <c r="P222" s="37">
        <f t="shared" ref="P222" si="97">SUM(P223:P228)</f>
        <v>980330.17703999998</v>
      </c>
      <c r="R222" s="90"/>
    </row>
    <row r="223" spans="1:18" x14ac:dyDescent="0.25">
      <c r="A223" s="500"/>
      <c r="B223" s="501"/>
      <c r="C223" s="502"/>
      <c r="D223" s="106" t="s">
        <v>13</v>
      </c>
      <c r="E223" s="37">
        <f t="shared" si="68"/>
        <v>8432.3000000000011</v>
      </c>
      <c r="F223" s="75">
        <f>F208-F216</f>
        <v>13.6</v>
      </c>
      <c r="G223" s="37">
        <f t="shared" ref="G223:L223" si="98">G208-G216</f>
        <v>0</v>
      </c>
      <c r="H223" s="37">
        <f t="shared" si="98"/>
        <v>50.9</v>
      </c>
      <c r="I223" s="185">
        <f t="shared" si="98"/>
        <v>5082.6000000000004</v>
      </c>
      <c r="J223" s="37">
        <f t="shared" si="98"/>
        <v>3202.6</v>
      </c>
      <c r="K223" s="37">
        <f t="shared" si="98"/>
        <v>82.6</v>
      </c>
      <c r="L223" s="37">
        <f t="shared" si="98"/>
        <v>0</v>
      </c>
      <c r="N223" s="46">
        <f t="shared" ref="N223:N286" si="99">I223-P223</f>
        <v>0</v>
      </c>
      <c r="P223" s="37">
        <f t="shared" ref="P223:P228" si="100">P208-P216</f>
        <v>5082.6000000000004</v>
      </c>
    </row>
    <row r="224" spans="1:18" x14ac:dyDescent="0.25">
      <c r="A224" s="500"/>
      <c r="B224" s="501"/>
      <c r="C224" s="502"/>
      <c r="D224" s="106" t="s">
        <v>14</v>
      </c>
      <c r="E224" s="37">
        <f t="shared" si="68"/>
        <v>22247.50056</v>
      </c>
      <c r="F224" s="75">
        <f t="shared" ref="F224:L228" si="101">F209-F217</f>
        <v>6558.7772700000005</v>
      </c>
      <c r="G224" s="37">
        <f t="shared" si="101"/>
        <v>4891.5</v>
      </c>
      <c r="H224" s="37">
        <f t="shared" si="101"/>
        <v>872.66728999999998</v>
      </c>
      <c r="I224" s="185">
        <f t="shared" si="101"/>
        <v>3003.2559999999999</v>
      </c>
      <c r="J224" s="37">
        <f t="shared" si="101"/>
        <v>5535.1</v>
      </c>
      <c r="K224" s="37">
        <f t="shared" si="101"/>
        <v>1386.2</v>
      </c>
      <c r="L224" s="37">
        <f t="shared" si="101"/>
        <v>0</v>
      </c>
      <c r="N224" s="46">
        <f t="shared" si="99"/>
        <v>2099.6559999999999</v>
      </c>
      <c r="P224" s="37">
        <f t="shared" si="100"/>
        <v>903.59999999999991</v>
      </c>
    </row>
    <row r="225" spans="1:18" x14ac:dyDescent="0.25">
      <c r="A225" s="500"/>
      <c r="B225" s="501"/>
      <c r="C225" s="502"/>
      <c r="D225" s="106" t="s">
        <v>15</v>
      </c>
      <c r="E225" s="37">
        <f t="shared" si="68"/>
        <v>4968520.5989699997</v>
      </c>
      <c r="F225" s="75">
        <f t="shared" si="101"/>
        <v>671049.72847000009</v>
      </c>
      <c r="G225" s="37">
        <f t="shared" si="101"/>
        <v>691967.74146000005</v>
      </c>
      <c r="H225" s="37">
        <f t="shared" si="101"/>
        <v>681188.93412999995</v>
      </c>
      <c r="I225" s="185">
        <f t="shared" si="101"/>
        <v>691617.26302999991</v>
      </c>
      <c r="J225" s="37">
        <f t="shared" si="101"/>
        <v>294616.26835999999</v>
      </c>
      <c r="K225" s="37">
        <f t="shared" si="101"/>
        <v>276911.52335999999</v>
      </c>
      <c r="L225" s="37">
        <f t="shared" si="101"/>
        <v>1661169.14016</v>
      </c>
      <c r="N225" s="46">
        <f t="shared" si="99"/>
        <v>267428.59955999989</v>
      </c>
      <c r="P225" s="37">
        <f t="shared" si="100"/>
        <v>424188.66347000003</v>
      </c>
    </row>
    <row r="226" spans="1:18" ht="30" x14ac:dyDescent="0.25">
      <c r="A226" s="500"/>
      <c r="B226" s="501"/>
      <c r="C226" s="502"/>
      <c r="D226" s="105" t="s">
        <v>91</v>
      </c>
      <c r="E226" s="37">
        <f t="shared" si="68"/>
        <v>0</v>
      </c>
      <c r="F226" s="37">
        <f t="shared" si="101"/>
        <v>0</v>
      </c>
      <c r="G226" s="37">
        <f t="shared" si="101"/>
        <v>0</v>
      </c>
      <c r="H226" s="37">
        <f t="shared" si="101"/>
        <v>0</v>
      </c>
      <c r="I226" s="185">
        <f t="shared" si="101"/>
        <v>0</v>
      </c>
      <c r="J226" s="37">
        <f t="shared" si="101"/>
        <v>0</v>
      </c>
      <c r="K226" s="37">
        <f t="shared" si="101"/>
        <v>0</v>
      </c>
      <c r="L226" s="37">
        <f t="shared" si="101"/>
        <v>0</v>
      </c>
      <c r="N226" s="46">
        <f t="shared" si="99"/>
        <v>0</v>
      </c>
      <c r="P226" s="37">
        <f t="shared" si="100"/>
        <v>0</v>
      </c>
    </row>
    <row r="227" spans="1:18" x14ac:dyDescent="0.25">
      <c r="A227" s="500"/>
      <c r="B227" s="501"/>
      <c r="C227" s="502"/>
      <c r="D227" s="105" t="s">
        <v>90</v>
      </c>
      <c r="E227" s="37">
        <f t="shared" si="68"/>
        <v>0</v>
      </c>
      <c r="F227" s="37">
        <f t="shared" si="101"/>
        <v>0</v>
      </c>
      <c r="G227" s="37">
        <f t="shared" si="101"/>
        <v>0</v>
      </c>
      <c r="H227" s="37">
        <f t="shared" si="101"/>
        <v>0</v>
      </c>
      <c r="I227" s="185">
        <f t="shared" si="101"/>
        <v>0</v>
      </c>
      <c r="J227" s="37">
        <f t="shared" si="101"/>
        <v>0</v>
      </c>
      <c r="K227" s="37">
        <f t="shared" si="101"/>
        <v>0</v>
      </c>
      <c r="L227" s="37">
        <f t="shared" si="101"/>
        <v>0</v>
      </c>
      <c r="N227" s="46">
        <f t="shared" si="99"/>
        <v>0</v>
      </c>
      <c r="P227" s="37">
        <f t="shared" si="100"/>
        <v>0</v>
      </c>
    </row>
    <row r="228" spans="1:18" x14ac:dyDescent="0.25">
      <c r="A228" s="503"/>
      <c r="B228" s="504"/>
      <c r="C228" s="505"/>
      <c r="D228" s="106" t="s">
        <v>18</v>
      </c>
      <c r="E228" s="37">
        <f t="shared" si="68"/>
        <v>2136604.0938350665</v>
      </c>
      <c r="F228" s="37">
        <f t="shared" si="101"/>
        <v>0</v>
      </c>
      <c r="G228" s="37">
        <f t="shared" si="101"/>
        <v>0</v>
      </c>
      <c r="H228" s="37">
        <f t="shared" si="101"/>
        <v>0</v>
      </c>
      <c r="I228" s="185">
        <f t="shared" si="101"/>
        <v>250939.85058999999</v>
      </c>
      <c r="J228" s="37">
        <f t="shared" si="101"/>
        <v>350993.14149431</v>
      </c>
      <c r="K228" s="37">
        <f t="shared" si="101"/>
        <v>207815.00963408241</v>
      </c>
      <c r="L228" s="37">
        <f t="shared" si="101"/>
        <v>1326856.0921166742</v>
      </c>
      <c r="N228" s="46">
        <f t="shared" si="99"/>
        <v>-299215.46298000001</v>
      </c>
      <c r="P228" s="37">
        <f t="shared" si="100"/>
        <v>550155.31357</v>
      </c>
    </row>
    <row r="229" spans="1:18" x14ac:dyDescent="0.25">
      <c r="A229" s="506" t="s">
        <v>94</v>
      </c>
      <c r="B229" s="507"/>
      <c r="C229" s="508"/>
      <c r="D229" s="106" t="s">
        <v>54</v>
      </c>
      <c r="E229" s="39" t="s">
        <v>54</v>
      </c>
      <c r="F229" s="37"/>
      <c r="G229" s="37"/>
      <c r="H229" s="37"/>
      <c r="I229" s="185" t="s">
        <v>54</v>
      </c>
      <c r="J229" s="37" t="s">
        <v>54</v>
      </c>
      <c r="K229" s="37"/>
      <c r="L229" s="37" t="s">
        <v>54</v>
      </c>
      <c r="N229" s="46"/>
      <c r="P229" s="37" t="s">
        <v>54</v>
      </c>
    </row>
    <row r="230" spans="1:18" s="29" customFormat="1" x14ac:dyDescent="0.25">
      <c r="A230" s="497" t="s">
        <v>97</v>
      </c>
      <c r="B230" s="498"/>
      <c r="C230" s="499"/>
      <c r="D230" s="106" t="s">
        <v>12</v>
      </c>
      <c r="E230" s="37">
        <f t="shared" si="68"/>
        <v>1409305.7978000001</v>
      </c>
      <c r="F230" s="75">
        <f t="shared" ref="F230:L230" si="102">SUM(F231:F236)</f>
        <v>265344.92694999999</v>
      </c>
      <c r="G230" s="37">
        <f t="shared" si="102"/>
        <v>264161.92694999999</v>
      </c>
      <c r="H230" s="37">
        <f t="shared" si="102"/>
        <v>264161.92694999999</v>
      </c>
      <c r="I230" s="185">
        <f t="shared" si="102"/>
        <v>462111.92694999999</v>
      </c>
      <c r="J230" s="37">
        <f t="shared" si="102"/>
        <v>153525.09</v>
      </c>
      <c r="K230" s="37">
        <f t="shared" si="102"/>
        <v>0</v>
      </c>
      <c r="L230" s="37">
        <f t="shared" si="102"/>
        <v>0</v>
      </c>
      <c r="N230" s="46">
        <f t="shared" si="99"/>
        <v>-20803.127659999998</v>
      </c>
      <c r="P230" s="37">
        <f t="shared" ref="P230" si="103">SUM(P231:P236)</f>
        <v>482915.05460999999</v>
      </c>
      <c r="R230" s="90"/>
    </row>
    <row r="231" spans="1:18" x14ac:dyDescent="0.25">
      <c r="A231" s="500"/>
      <c r="B231" s="501"/>
      <c r="C231" s="502"/>
      <c r="D231" s="106" t="s">
        <v>13</v>
      </c>
      <c r="E231" s="37">
        <f t="shared" si="68"/>
        <v>0</v>
      </c>
      <c r="F231" s="37">
        <f t="shared" ref="F231:L236" si="104">F52</f>
        <v>0</v>
      </c>
      <c r="G231" s="37">
        <f t="shared" si="104"/>
        <v>0</v>
      </c>
      <c r="H231" s="37">
        <f t="shared" si="104"/>
        <v>0</v>
      </c>
      <c r="I231" s="185">
        <f t="shared" si="104"/>
        <v>0</v>
      </c>
      <c r="J231" s="37">
        <f t="shared" si="104"/>
        <v>0</v>
      </c>
      <c r="K231" s="37">
        <f t="shared" si="104"/>
        <v>0</v>
      </c>
      <c r="L231" s="37">
        <f t="shared" si="104"/>
        <v>0</v>
      </c>
      <c r="N231" s="46">
        <f t="shared" si="99"/>
        <v>0</v>
      </c>
      <c r="P231" s="37">
        <f t="shared" ref="P231:P236" si="105">P52</f>
        <v>0</v>
      </c>
    </row>
    <row r="232" spans="1:18" x14ac:dyDescent="0.25">
      <c r="A232" s="500"/>
      <c r="B232" s="501"/>
      <c r="C232" s="502"/>
      <c r="D232" s="106" t="s">
        <v>14</v>
      </c>
      <c r="E232" s="37">
        <f t="shared" si="68"/>
        <v>0</v>
      </c>
      <c r="F232" s="37">
        <f t="shared" si="104"/>
        <v>0</v>
      </c>
      <c r="G232" s="37">
        <f t="shared" si="104"/>
        <v>0</v>
      </c>
      <c r="H232" s="37">
        <f t="shared" si="104"/>
        <v>0</v>
      </c>
      <c r="I232" s="185">
        <f t="shared" si="104"/>
        <v>0</v>
      </c>
      <c r="J232" s="37">
        <f t="shared" si="104"/>
        <v>0</v>
      </c>
      <c r="K232" s="37">
        <f t="shared" si="104"/>
        <v>0</v>
      </c>
      <c r="L232" s="37">
        <f t="shared" si="104"/>
        <v>0</v>
      </c>
      <c r="N232" s="46">
        <f t="shared" si="99"/>
        <v>0</v>
      </c>
      <c r="P232" s="37">
        <f t="shared" si="105"/>
        <v>0</v>
      </c>
    </row>
    <row r="233" spans="1:18" x14ac:dyDescent="0.25">
      <c r="A233" s="500"/>
      <c r="B233" s="501"/>
      <c r="C233" s="502"/>
      <c r="D233" s="106" t="s">
        <v>15</v>
      </c>
      <c r="E233" s="38">
        <f t="shared" si="68"/>
        <v>1057830.7078</v>
      </c>
      <c r="F233" s="75">
        <f t="shared" si="104"/>
        <v>265344.92694999999</v>
      </c>
      <c r="G233" s="37">
        <f t="shared" si="104"/>
        <v>264161.92694999999</v>
      </c>
      <c r="H233" s="37">
        <f t="shared" si="104"/>
        <v>264161.92694999999</v>
      </c>
      <c r="I233" s="185">
        <f t="shared" si="104"/>
        <v>264161.92694999999</v>
      </c>
      <c r="J233" s="37">
        <f t="shared" si="104"/>
        <v>0</v>
      </c>
      <c r="K233" s="37">
        <f t="shared" si="104"/>
        <v>0</v>
      </c>
      <c r="L233" s="37">
        <f t="shared" si="104"/>
        <v>0</v>
      </c>
      <c r="N233" s="46">
        <f t="shared" si="99"/>
        <v>243358.79929</v>
      </c>
      <c r="P233" s="37">
        <f t="shared" si="105"/>
        <v>20803.127659999998</v>
      </c>
    </row>
    <row r="234" spans="1:18" ht="30" x14ac:dyDescent="0.25">
      <c r="A234" s="500"/>
      <c r="B234" s="501"/>
      <c r="C234" s="502"/>
      <c r="D234" s="105" t="s">
        <v>91</v>
      </c>
      <c r="E234" s="38">
        <f t="shared" si="68"/>
        <v>0</v>
      </c>
      <c r="F234" s="37">
        <f t="shared" si="104"/>
        <v>0</v>
      </c>
      <c r="G234" s="37">
        <f t="shared" si="104"/>
        <v>0</v>
      </c>
      <c r="H234" s="37">
        <f t="shared" si="104"/>
        <v>0</v>
      </c>
      <c r="I234" s="185">
        <f t="shared" si="104"/>
        <v>0</v>
      </c>
      <c r="J234" s="37">
        <f t="shared" si="104"/>
        <v>0</v>
      </c>
      <c r="K234" s="37">
        <f t="shared" si="104"/>
        <v>0</v>
      </c>
      <c r="L234" s="37">
        <f t="shared" si="104"/>
        <v>0</v>
      </c>
      <c r="N234" s="46">
        <f t="shared" si="99"/>
        <v>0</v>
      </c>
      <c r="P234" s="37">
        <f t="shared" si="105"/>
        <v>0</v>
      </c>
    </row>
    <row r="235" spans="1:18" x14ac:dyDescent="0.25">
      <c r="A235" s="500"/>
      <c r="B235" s="501"/>
      <c r="C235" s="502"/>
      <c r="D235" s="105" t="s">
        <v>90</v>
      </c>
      <c r="E235" s="38">
        <f t="shared" si="68"/>
        <v>0</v>
      </c>
      <c r="F235" s="37">
        <f t="shared" si="104"/>
        <v>0</v>
      </c>
      <c r="G235" s="37">
        <f t="shared" si="104"/>
        <v>0</v>
      </c>
      <c r="H235" s="37">
        <f t="shared" si="104"/>
        <v>0</v>
      </c>
      <c r="I235" s="185">
        <f t="shared" si="104"/>
        <v>0</v>
      </c>
      <c r="J235" s="37">
        <f t="shared" si="104"/>
        <v>0</v>
      </c>
      <c r="K235" s="37">
        <f t="shared" si="104"/>
        <v>0</v>
      </c>
      <c r="L235" s="37">
        <f t="shared" si="104"/>
        <v>0</v>
      </c>
      <c r="N235" s="46">
        <f t="shared" si="99"/>
        <v>0</v>
      </c>
      <c r="P235" s="37">
        <f t="shared" si="105"/>
        <v>0</v>
      </c>
    </row>
    <row r="236" spans="1:18" x14ac:dyDescent="0.25">
      <c r="A236" s="503"/>
      <c r="B236" s="504"/>
      <c r="C236" s="505"/>
      <c r="D236" s="106" t="s">
        <v>18</v>
      </c>
      <c r="E236" s="38">
        <f t="shared" si="68"/>
        <v>351475.08999999997</v>
      </c>
      <c r="F236" s="37">
        <f t="shared" si="104"/>
        <v>0</v>
      </c>
      <c r="G236" s="37">
        <f t="shared" si="104"/>
        <v>0</v>
      </c>
      <c r="H236" s="37">
        <f t="shared" si="104"/>
        <v>0</v>
      </c>
      <c r="I236" s="185">
        <f t="shared" si="104"/>
        <v>197950</v>
      </c>
      <c r="J236" s="37">
        <f t="shared" si="104"/>
        <v>153525.09</v>
      </c>
      <c r="K236" s="37">
        <f t="shared" si="104"/>
        <v>0</v>
      </c>
      <c r="L236" s="37">
        <f t="shared" si="104"/>
        <v>0</v>
      </c>
      <c r="N236" s="46">
        <f t="shared" si="99"/>
        <v>-264161.92694999999</v>
      </c>
      <c r="P236" s="37">
        <f t="shared" si="105"/>
        <v>462111.92694999999</v>
      </c>
    </row>
    <row r="237" spans="1:18" s="29" customFormat="1" x14ac:dyDescent="0.25">
      <c r="A237" s="497" t="s">
        <v>98</v>
      </c>
      <c r="B237" s="498"/>
      <c r="C237" s="499"/>
      <c r="D237" s="106" t="s">
        <v>12</v>
      </c>
      <c r="E237" s="37">
        <f t="shared" si="68"/>
        <v>5726498.6955650672</v>
      </c>
      <c r="F237" s="75">
        <f t="shared" ref="F237:L237" si="106">SUM(F238:F243)</f>
        <v>412277.17879000009</v>
      </c>
      <c r="G237" s="37">
        <f t="shared" si="106"/>
        <v>432697.31451000005</v>
      </c>
      <c r="H237" s="37">
        <f t="shared" si="106"/>
        <v>417950.57446999993</v>
      </c>
      <c r="I237" s="185">
        <f t="shared" si="106"/>
        <v>488531.04266999994</v>
      </c>
      <c r="J237" s="37">
        <f t="shared" si="106"/>
        <v>500822.01985430997</v>
      </c>
      <c r="K237" s="37">
        <f t="shared" si="106"/>
        <v>486195.33299408236</v>
      </c>
      <c r="L237" s="37">
        <f t="shared" si="106"/>
        <v>2988025.2322766744</v>
      </c>
      <c r="N237" s="46">
        <f t="shared" si="99"/>
        <v>-8884.0797600001097</v>
      </c>
      <c r="P237" s="37">
        <f t="shared" ref="P237" si="107">SUM(P238:P243)</f>
        <v>497415.12243000005</v>
      </c>
      <c r="R237" s="90"/>
    </row>
    <row r="238" spans="1:18" x14ac:dyDescent="0.25">
      <c r="A238" s="500"/>
      <c r="B238" s="501"/>
      <c r="C238" s="502"/>
      <c r="D238" s="106" t="s">
        <v>13</v>
      </c>
      <c r="E238" s="37">
        <f t="shared" si="68"/>
        <v>8432.3000000000011</v>
      </c>
      <c r="F238" s="75">
        <f>F208-F231</f>
        <v>13.6</v>
      </c>
      <c r="G238" s="37">
        <f t="shared" ref="G238:L238" si="108">G208-G231</f>
        <v>0</v>
      </c>
      <c r="H238" s="37">
        <f t="shared" si="108"/>
        <v>50.9</v>
      </c>
      <c r="I238" s="185">
        <f t="shared" si="108"/>
        <v>5082.6000000000004</v>
      </c>
      <c r="J238" s="37">
        <f t="shared" si="108"/>
        <v>3202.6</v>
      </c>
      <c r="K238" s="37">
        <f t="shared" si="108"/>
        <v>82.6</v>
      </c>
      <c r="L238" s="37">
        <f t="shared" si="108"/>
        <v>0</v>
      </c>
      <c r="N238" s="46">
        <f t="shared" si="99"/>
        <v>0</v>
      </c>
      <c r="P238" s="37">
        <f t="shared" ref="P238:P243" si="109">P208-P231</f>
        <v>5082.6000000000004</v>
      </c>
    </row>
    <row r="239" spans="1:18" x14ac:dyDescent="0.25">
      <c r="A239" s="500"/>
      <c r="B239" s="501"/>
      <c r="C239" s="502"/>
      <c r="D239" s="106" t="s">
        <v>14</v>
      </c>
      <c r="E239" s="37">
        <f t="shared" si="68"/>
        <v>22247.50056</v>
      </c>
      <c r="F239" s="75">
        <f t="shared" ref="F239:L243" si="110">F209-F232</f>
        <v>6558.7772700000005</v>
      </c>
      <c r="G239" s="37">
        <f t="shared" si="110"/>
        <v>4891.5</v>
      </c>
      <c r="H239" s="37">
        <f t="shared" si="110"/>
        <v>872.66728999999998</v>
      </c>
      <c r="I239" s="185">
        <f t="shared" si="110"/>
        <v>3003.2559999999999</v>
      </c>
      <c r="J239" s="37">
        <f t="shared" si="110"/>
        <v>5535.1</v>
      </c>
      <c r="K239" s="37">
        <f t="shared" si="110"/>
        <v>1386.2</v>
      </c>
      <c r="L239" s="37">
        <f t="shared" si="110"/>
        <v>0</v>
      </c>
      <c r="N239" s="46">
        <f t="shared" si="99"/>
        <v>2099.6559999999999</v>
      </c>
      <c r="P239" s="37">
        <f t="shared" si="109"/>
        <v>903.59999999999991</v>
      </c>
    </row>
    <row r="240" spans="1:18" x14ac:dyDescent="0.25">
      <c r="A240" s="500"/>
      <c r="B240" s="501"/>
      <c r="C240" s="502"/>
      <c r="D240" s="106" t="s">
        <v>15</v>
      </c>
      <c r="E240" s="37">
        <f t="shared" si="68"/>
        <v>3910689.8911700002</v>
      </c>
      <c r="F240" s="75">
        <f t="shared" si="110"/>
        <v>405704.8015200001</v>
      </c>
      <c r="G240" s="37">
        <f t="shared" si="110"/>
        <v>427805.81451000005</v>
      </c>
      <c r="H240" s="37">
        <f t="shared" si="110"/>
        <v>417027.00717999996</v>
      </c>
      <c r="I240" s="185">
        <f t="shared" si="110"/>
        <v>427455.33607999992</v>
      </c>
      <c r="J240" s="37">
        <f t="shared" si="110"/>
        <v>294616.26835999999</v>
      </c>
      <c r="K240" s="37">
        <f t="shared" si="110"/>
        <v>276911.52335999999</v>
      </c>
      <c r="L240" s="37">
        <f t="shared" si="110"/>
        <v>1661169.14016</v>
      </c>
      <c r="N240" s="46">
        <f t="shared" si="99"/>
        <v>24069.800269999891</v>
      </c>
      <c r="P240" s="37">
        <f t="shared" si="109"/>
        <v>403385.53581000003</v>
      </c>
    </row>
    <row r="241" spans="1:19" ht="30" x14ac:dyDescent="0.25">
      <c r="A241" s="500"/>
      <c r="B241" s="501"/>
      <c r="C241" s="502"/>
      <c r="D241" s="105" t="s">
        <v>91</v>
      </c>
      <c r="E241" s="37">
        <f t="shared" si="68"/>
        <v>0</v>
      </c>
      <c r="F241" s="37">
        <f t="shared" si="110"/>
        <v>0</v>
      </c>
      <c r="G241" s="37">
        <f t="shared" si="110"/>
        <v>0</v>
      </c>
      <c r="H241" s="37">
        <f t="shared" si="110"/>
        <v>0</v>
      </c>
      <c r="I241" s="185">
        <f t="shared" si="110"/>
        <v>0</v>
      </c>
      <c r="J241" s="37">
        <f t="shared" si="110"/>
        <v>0</v>
      </c>
      <c r="K241" s="37">
        <f t="shared" si="110"/>
        <v>0</v>
      </c>
      <c r="L241" s="37">
        <f t="shared" si="110"/>
        <v>0</v>
      </c>
      <c r="N241" s="46">
        <f t="shared" si="99"/>
        <v>0</v>
      </c>
      <c r="P241" s="37">
        <f t="shared" si="109"/>
        <v>0</v>
      </c>
    </row>
    <row r="242" spans="1:19" x14ac:dyDescent="0.25">
      <c r="A242" s="500"/>
      <c r="B242" s="501"/>
      <c r="C242" s="502"/>
      <c r="D242" s="105" t="s">
        <v>90</v>
      </c>
      <c r="E242" s="37">
        <f t="shared" si="68"/>
        <v>0</v>
      </c>
      <c r="F242" s="37">
        <f t="shared" si="110"/>
        <v>0</v>
      </c>
      <c r="G242" s="37">
        <f t="shared" si="110"/>
        <v>0</v>
      </c>
      <c r="H242" s="37">
        <f t="shared" si="110"/>
        <v>0</v>
      </c>
      <c r="I242" s="185">
        <f t="shared" si="110"/>
        <v>0</v>
      </c>
      <c r="J242" s="37">
        <f t="shared" si="110"/>
        <v>0</v>
      </c>
      <c r="K242" s="37">
        <f t="shared" si="110"/>
        <v>0</v>
      </c>
      <c r="L242" s="37">
        <f t="shared" si="110"/>
        <v>0</v>
      </c>
      <c r="N242" s="46">
        <f t="shared" si="99"/>
        <v>0</v>
      </c>
      <c r="P242" s="37">
        <f t="shared" si="109"/>
        <v>0</v>
      </c>
    </row>
    <row r="243" spans="1:19" x14ac:dyDescent="0.25">
      <c r="A243" s="503"/>
      <c r="B243" s="504"/>
      <c r="C243" s="505"/>
      <c r="D243" s="106" t="s">
        <v>18</v>
      </c>
      <c r="E243" s="37">
        <f t="shared" si="68"/>
        <v>1785129.0038350667</v>
      </c>
      <c r="F243" s="37">
        <f t="shared" si="110"/>
        <v>0</v>
      </c>
      <c r="G243" s="37">
        <f t="shared" si="110"/>
        <v>0</v>
      </c>
      <c r="H243" s="37">
        <f t="shared" si="110"/>
        <v>0</v>
      </c>
      <c r="I243" s="185">
        <f t="shared" si="110"/>
        <v>52989.850589999987</v>
      </c>
      <c r="J243" s="37">
        <f t="shared" si="110"/>
        <v>197468.05149431</v>
      </c>
      <c r="K243" s="37">
        <f t="shared" si="110"/>
        <v>207815.00963408241</v>
      </c>
      <c r="L243" s="37">
        <f t="shared" si="110"/>
        <v>1326856.0921166742</v>
      </c>
      <c r="N243" s="46">
        <f t="shared" si="99"/>
        <v>-35053.536030000017</v>
      </c>
      <c r="P243" s="37">
        <f t="shared" si="109"/>
        <v>88043.386620000005</v>
      </c>
    </row>
    <row r="244" spans="1:19" x14ac:dyDescent="0.25">
      <c r="A244" s="509" t="s">
        <v>77</v>
      </c>
      <c r="B244" s="510"/>
      <c r="C244" s="511"/>
      <c r="D244" s="106"/>
      <c r="E244" s="40"/>
      <c r="F244" s="40"/>
      <c r="G244" s="40"/>
      <c r="H244" s="40"/>
      <c r="I244" s="186"/>
      <c r="J244" s="40"/>
      <c r="K244" s="40"/>
      <c r="L244" s="40"/>
      <c r="N244" s="46">
        <f t="shared" si="99"/>
        <v>0</v>
      </c>
      <c r="P244" s="40"/>
    </row>
    <row r="245" spans="1:19" x14ac:dyDescent="0.25">
      <c r="A245" s="497" t="s">
        <v>144</v>
      </c>
      <c r="B245" s="498"/>
      <c r="C245" s="499"/>
      <c r="D245" s="106" t="s">
        <v>12</v>
      </c>
      <c r="E245" s="37">
        <f t="shared" si="68"/>
        <v>4612122.468492833</v>
      </c>
      <c r="F245" s="75">
        <f t="shared" ref="F245:L245" si="111">SUM(F246:F251)</f>
        <v>305236.04231000011</v>
      </c>
      <c r="G245" s="37">
        <f t="shared" si="111"/>
        <v>324206.88092000014</v>
      </c>
      <c r="H245" s="37">
        <f t="shared" si="111"/>
        <v>314385.45942999987</v>
      </c>
      <c r="I245" s="185">
        <f t="shared" si="111"/>
        <v>380255.8727799998</v>
      </c>
      <c r="J245" s="37">
        <f t="shared" si="111"/>
        <v>416194.60146250995</v>
      </c>
      <c r="K245" s="37">
        <f t="shared" si="111"/>
        <v>400813.75864021038</v>
      </c>
      <c r="L245" s="37">
        <f t="shared" si="111"/>
        <v>2471029.8529501129</v>
      </c>
      <c r="N245" s="46">
        <f t="shared" si="99"/>
        <v>-14703.085680000251</v>
      </c>
      <c r="P245" s="37">
        <f t="shared" ref="P245" si="112">SUM(P246:P251)</f>
        <v>394958.95846000005</v>
      </c>
    </row>
    <row r="246" spans="1:19" x14ac:dyDescent="0.25">
      <c r="A246" s="500"/>
      <c r="B246" s="501"/>
      <c r="C246" s="502"/>
      <c r="D246" s="106" t="s">
        <v>13</v>
      </c>
      <c r="E246" s="37">
        <f t="shared" si="68"/>
        <v>8432.3000000000011</v>
      </c>
      <c r="F246" s="67">
        <f>F208-F253-F260-F267-F274</f>
        <v>13.6</v>
      </c>
      <c r="G246" s="68">
        <f t="shared" ref="G246:L246" si="113">G208-G253-G260-G267-G274</f>
        <v>0</v>
      </c>
      <c r="H246" s="68">
        <f t="shared" si="113"/>
        <v>50.9</v>
      </c>
      <c r="I246" s="187">
        <f t="shared" si="113"/>
        <v>5082.6000000000004</v>
      </c>
      <c r="J246" s="68">
        <f t="shared" si="113"/>
        <v>3202.6</v>
      </c>
      <c r="K246" s="68">
        <f t="shared" si="113"/>
        <v>82.6</v>
      </c>
      <c r="L246" s="68">
        <f t="shared" si="113"/>
        <v>0</v>
      </c>
      <c r="N246" s="46">
        <f t="shared" si="99"/>
        <v>0</v>
      </c>
      <c r="P246" s="68">
        <f t="shared" ref="P246:P251" si="114">P208-P253-P260-P267-P274</f>
        <v>5082.6000000000004</v>
      </c>
    </row>
    <row r="247" spans="1:19" x14ac:dyDescent="0.25">
      <c r="A247" s="500"/>
      <c r="B247" s="501"/>
      <c r="C247" s="502"/>
      <c r="D247" s="106" t="s">
        <v>14</v>
      </c>
      <c r="E247" s="37">
        <f t="shared" si="68"/>
        <v>21747.50056</v>
      </c>
      <c r="F247" s="67">
        <f t="shared" ref="F247:L251" si="115">F209-F254-F261-F268-F275</f>
        <v>6558.7772700000005</v>
      </c>
      <c r="G247" s="68">
        <f t="shared" si="115"/>
        <v>4891.5</v>
      </c>
      <c r="H247" s="68">
        <f t="shared" si="115"/>
        <v>872.66728999999998</v>
      </c>
      <c r="I247" s="187">
        <f t="shared" si="115"/>
        <v>2503.2559999999999</v>
      </c>
      <c r="J247" s="68">
        <f t="shared" si="115"/>
        <v>5535.1</v>
      </c>
      <c r="K247" s="68">
        <f t="shared" si="115"/>
        <v>1386.2</v>
      </c>
      <c r="L247" s="68">
        <f t="shared" si="115"/>
        <v>0</v>
      </c>
      <c r="N247" s="46">
        <f t="shared" si="99"/>
        <v>1599.6559999999999</v>
      </c>
      <c r="P247" s="68">
        <f t="shared" si="114"/>
        <v>903.59999999999991</v>
      </c>
      <c r="Q247" s="21" t="s">
        <v>268</v>
      </c>
      <c r="R247" s="88">
        <v>333540.09743999998</v>
      </c>
    </row>
    <row r="248" spans="1:19" x14ac:dyDescent="0.25">
      <c r="A248" s="500"/>
      <c r="B248" s="501"/>
      <c r="C248" s="502"/>
      <c r="D248" s="106" t="s">
        <v>15</v>
      </c>
      <c r="E248" s="41">
        <f t="shared" si="68"/>
        <v>2958117.6157</v>
      </c>
      <c r="F248" s="67">
        <f t="shared" si="115"/>
        <v>298663.66504000011</v>
      </c>
      <c r="G248" s="68">
        <f t="shared" si="115"/>
        <v>319315.38092000014</v>
      </c>
      <c r="H248" s="68">
        <f t="shared" si="115"/>
        <v>313461.89213999989</v>
      </c>
      <c r="I248" s="187">
        <f t="shared" si="115"/>
        <v>325954.24143999984</v>
      </c>
      <c r="J248" s="68">
        <f t="shared" si="115"/>
        <v>223056.40801999997</v>
      </c>
      <c r="K248" s="68">
        <f t="shared" si="115"/>
        <v>211138.00401999999</v>
      </c>
      <c r="L248" s="68">
        <f t="shared" si="115"/>
        <v>1266528.02412</v>
      </c>
      <c r="N248" s="46">
        <f t="shared" si="99"/>
        <v>21062.050879999821</v>
      </c>
      <c r="P248" s="68">
        <f t="shared" si="114"/>
        <v>304892.19056000002</v>
      </c>
      <c r="Q248" s="21" t="s">
        <v>266</v>
      </c>
      <c r="R248" s="88">
        <f>R102</f>
        <v>-4786.5339999999997</v>
      </c>
      <c r="S248" s="21" t="s">
        <v>267</v>
      </c>
    </row>
    <row r="249" spans="1:19" ht="30" x14ac:dyDescent="0.25">
      <c r="A249" s="500"/>
      <c r="B249" s="501"/>
      <c r="C249" s="502"/>
      <c r="D249" s="105" t="s">
        <v>91</v>
      </c>
      <c r="E249" s="37">
        <f t="shared" si="68"/>
        <v>0</v>
      </c>
      <c r="F249" s="67">
        <f t="shared" si="115"/>
        <v>0</v>
      </c>
      <c r="G249" s="68">
        <f t="shared" si="115"/>
        <v>0</v>
      </c>
      <c r="H249" s="68">
        <f t="shared" si="115"/>
        <v>0</v>
      </c>
      <c r="I249" s="188">
        <f t="shared" si="115"/>
        <v>0</v>
      </c>
      <c r="J249" s="68">
        <f t="shared" si="115"/>
        <v>0</v>
      </c>
      <c r="K249" s="68">
        <f t="shared" si="115"/>
        <v>0</v>
      </c>
      <c r="L249" s="68">
        <f t="shared" si="115"/>
        <v>0</v>
      </c>
      <c r="N249" s="46">
        <f t="shared" si="99"/>
        <v>0</v>
      </c>
      <c r="P249" s="68">
        <f t="shared" si="114"/>
        <v>0</v>
      </c>
      <c r="R249" s="88">
        <f>SUM(R247:R248)</f>
        <v>328753.56344</v>
      </c>
    </row>
    <row r="250" spans="1:19" x14ac:dyDescent="0.25">
      <c r="A250" s="500"/>
      <c r="B250" s="501"/>
      <c r="C250" s="502"/>
      <c r="D250" s="105" t="s">
        <v>90</v>
      </c>
      <c r="E250" s="37">
        <f t="shared" ref="E250:E265" si="116">SUM(F250:L250)</f>
        <v>0</v>
      </c>
      <c r="F250" s="67">
        <f t="shared" si="115"/>
        <v>0</v>
      </c>
      <c r="G250" s="68">
        <f t="shared" si="115"/>
        <v>0</v>
      </c>
      <c r="H250" s="68">
        <f t="shared" si="115"/>
        <v>0</v>
      </c>
      <c r="I250" s="188">
        <f t="shared" si="115"/>
        <v>0</v>
      </c>
      <c r="J250" s="68">
        <f t="shared" si="115"/>
        <v>0</v>
      </c>
      <c r="K250" s="68">
        <f t="shared" si="115"/>
        <v>0</v>
      </c>
      <c r="L250" s="68">
        <f t="shared" si="115"/>
        <v>0</v>
      </c>
      <c r="N250" s="46">
        <f t="shared" si="99"/>
        <v>0</v>
      </c>
      <c r="P250" s="68">
        <f t="shared" si="114"/>
        <v>0</v>
      </c>
      <c r="R250" s="88">
        <f>I246+I247+I248-R249</f>
        <v>4786.5339999998105</v>
      </c>
    </row>
    <row r="251" spans="1:19" x14ac:dyDescent="0.25">
      <c r="A251" s="503"/>
      <c r="B251" s="504"/>
      <c r="C251" s="505"/>
      <c r="D251" s="106" t="s">
        <v>18</v>
      </c>
      <c r="E251" s="37">
        <f t="shared" si="116"/>
        <v>1623825.0522328333</v>
      </c>
      <c r="F251" s="67">
        <f t="shared" si="115"/>
        <v>0</v>
      </c>
      <c r="G251" s="68">
        <f t="shared" si="115"/>
        <v>0</v>
      </c>
      <c r="H251" s="68">
        <f t="shared" si="115"/>
        <v>0</v>
      </c>
      <c r="I251" s="188">
        <f t="shared" si="115"/>
        <v>46715.775339999993</v>
      </c>
      <c r="J251" s="68">
        <f t="shared" si="115"/>
        <v>184400.49344250999</v>
      </c>
      <c r="K251" s="68">
        <f t="shared" si="115"/>
        <v>188206.9546202104</v>
      </c>
      <c r="L251" s="68">
        <f t="shared" si="115"/>
        <v>1204501.8288301129</v>
      </c>
      <c r="N251" s="46">
        <f t="shared" si="99"/>
        <v>-37364.792560000031</v>
      </c>
      <c r="P251" s="68">
        <f t="shared" si="114"/>
        <v>84080.567900000024</v>
      </c>
    </row>
    <row r="252" spans="1:19" x14ac:dyDescent="0.25">
      <c r="A252" s="497" t="s">
        <v>179</v>
      </c>
      <c r="B252" s="498"/>
      <c r="C252" s="499"/>
      <c r="D252" s="106" t="s">
        <v>12</v>
      </c>
      <c r="E252" s="37">
        <f t="shared" si="116"/>
        <v>1080633.4698622334</v>
      </c>
      <c r="F252" s="69">
        <f t="shared" ref="F252:L252" si="117">SUM(F253:F258)</f>
        <v>105349.21219000001</v>
      </c>
      <c r="G252" s="69">
        <f t="shared" si="117"/>
        <v>105316.36663</v>
      </c>
      <c r="H252" s="69">
        <f t="shared" si="117"/>
        <v>101120.66266</v>
      </c>
      <c r="I252" s="185">
        <f t="shared" si="117"/>
        <v>103780.45630999999</v>
      </c>
      <c r="J252" s="69">
        <f t="shared" si="117"/>
        <v>81885.218391800008</v>
      </c>
      <c r="K252" s="69">
        <f t="shared" si="117"/>
        <v>82639.374353872001</v>
      </c>
      <c r="L252" s="69">
        <f t="shared" si="117"/>
        <v>500542.17932656128</v>
      </c>
      <c r="N252" s="46">
        <f t="shared" si="99"/>
        <v>4066.4923399999971</v>
      </c>
      <c r="P252" s="69">
        <f t="shared" ref="P252" si="118">SUM(P253:P258)</f>
        <v>99713.963969999997</v>
      </c>
    </row>
    <row r="253" spans="1:19" x14ac:dyDescent="0.25">
      <c r="A253" s="500"/>
      <c r="B253" s="501"/>
      <c r="C253" s="502"/>
      <c r="D253" s="106" t="s">
        <v>13</v>
      </c>
      <c r="E253" s="37">
        <f t="shared" si="116"/>
        <v>0</v>
      </c>
      <c r="F253" s="67">
        <v>0</v>
      </c>
      <c r="G253" s="67">
        <v>0</v>
      </c>
      <c r="H253" s="67">
        <f>H187+H151+H116</f>
        <v>0</v>
      </c>
      <c r="I253" s="189">
        <f t="shared" ref="I253:L253" si="119">I187+I151+I116</f>
        <v>0</v>
      </c>
      <c r="J253" s="67">
        <f t="shared" si="119"/>
        <v>0</v>
      </c>
      <c r="K253" s="67">
        <f t="shared" si="119"/>
        <v>0</v>
      </c>
      <c r="L253" s="67">
        <f t="shared" si="119"/>
        <v>0</v>
      </c>
      <c r="N253" s="46">
        <f t="shared" si="99"/>
        <v>0</v>
      </c>
      <c r="P253" s="67">
        <f t="shared" ref="P253:P254" si="120">P187+P151+P116</f>
        <v>0</v>
      </c>
    </row>
    <row r="254" spans="1:19" x14ac:dyDescent="0.25">
      <c r="A254" s="500"/>
      <c r="B254" s="501"/>
      <c r="C254" s="502"/>
      <c r="D254" s="106" t="s">
        <v>14</v>
      </c>
      <c r="E254" s="37">
        <f t="shared" si="116"/>
        <v>0</v>
      </c>
      <c r="F254" s="67">
        <v>0</v>
      </c>
      <c r="G254" s="67">
        <v>0</v>
      </c>
      <c r="H254" s="67">
        <f t="shared" ref="H254:L258" si="121">H188+H152+H117</f>
        <v>0</v>
      </c>
      <c r="I254" s="189">
        <f t="shared" si="121"/>
        <v>0</v>
      </c>
      <c r="J254" s="67">
        <f t="shared" si="121"/>
        <v>0</v>
      </c>
      <c r="K254" s="67">
        <f t="shared" si="121"/>
        <v>0</v>
      </c>
      <c r="L254" s="67">
        <f t="shared" si="121"/>
        <v>0</v>
      </c>
      <c r="N254" s="46">
        <f t="shared" si="99"/>
        <v>0</v>
      </c>
      <c r="P254" s="67">
        <f t="shared" si="120"/>
        <v>0</v>
      </c>
    </row>
    <row r="255" spans="1:19" x14ac:dyDescent="0.25">
      <c r="A255" s="500"/>
      <c r="B255" s="501"/>
      <c r="C255" s="502"/>
      <c r="D255" s="106" t="s">
        <v>15</v>
      </c>
      <c r="E255" s="41">
        <f t="shared" si="116"/>
        <v>919329.51826000004</v>
      </c>
      <c r="F255" s="70">
        <v>105349.21219000001</v>
      </c>
      <c r="G255" s="70">
        <v>105316.36663</v>
      </c>
      <c r="H255" s="67">
        <f>H189+H153+H111</f>
        <v>101120.66266</v>
      </c>
      <c r="I255" s="190">
        <f t="shared" ref="I255:L255" si="122">I189+I153+I111</f>
        <v>97506.38106</v>
      </c>
      <c r="J255" s="67">
        <f t="shared" si="122"/>
        <v>68817.660340000002</v>
      </c>
      <c r="K255" s="67">
        <f t="shared" si="122"/>
        <v>63031.319340000002</v>
      </c>
      <c r="L255" s="67">
        <f t="shared" si="122"/>
        <v>378187.91604000004</v>
      </c>
      <c r="N255" s="46">
        <f t="shared" si="99"/>
        <v>1755.2358099999983</v>
      </c>
      <c r="P255" s="67">
        <f t="shared" ref="P255" si="123">P189+P153+P111</f>
        <v>95751.145250000001</v>
      </c>
    </row>
    <row r="256" spans="1:19" ht="30" x14ac:dyDescent="0.25">
      <c r="A256" s="500"/>
      <c r="B256" s="501"/>
      <c r="C256" s="502"/>
      <c r="D256" s="105" t="s">
        <v>91</v>
      </c>
      <c r="E256" s="37">
        <f t="shared" si="116"/>
        <v>0</v>
      </c>
      <c r="F256" s="67">
        <v>0</v>
      </c>
      <c r="G256" s="67">
        <v>0</v>
      </c>
      <c r="H256" s="67">
        <f t="shared" si="121"/>
        <v>0</v>
      </c>
      <c r="I256" s="189">
        <f t="shared" si="121"/>
        <v>0</v>
      </c>
      <c r="J256" s="67">
        <f t="shared" si="121"/>
        <v>0</v>
      </c>
      <c r="K256" s="67">
        <f t="shared" si="121"/>
        <v>0</v>
      </c>
      <c r="L256" s="67">
        <f t="shared" si="121"/>
        <v>0</v>
      </c>
      <c r="N256" s="46">
        <f t="shared" si="99"/>
        <v>0</v>
      </c>
      <c r="P256" s="67">
        <f t="shared" ref="P256:P258" si="124">P190+P154+P119</f>
        <v>0</v>
      </c>
    </row>
    <row r="257" spans="1:16" s="21" customFormat="1" x14ac:dyDescent="0.25">
      <c r="A257" s="500"/>
      <c r="B257" s="501"/>
      <c r="C257" s="502"/>
      <c r="D257" s="105" t="s">
        <v>90</v>
      </c>
      <c r="E257" s="37">
        <f t="shared" si="116"/>
        <v>0</v>
      </c>
      <c r="F257" s="67">
        <v>0</v>
      </c>
      <c r="G257" s="67">
        <v>0</v>
      </c>
      <c r="H257" s="67">
        <f t="shared" si="121"/>
        <v>0</v>
      </c>
      <c r="I257" s="189">
        <f t="shared" si="121"/>
        <v>0</v>
      </c>
      <c r="J257" s="67">
        <f t="shared" si="121"/>
        <v>0</v>
      </c>
      <c r="K257" s="67">
        <f t="shared" si="121"/>
        <v>0</v>
      </c>
      <c r="L257" s="67">
        <f t="shared" si="121"/>
        <v>0</v>
      </c>
      <c r="N257" s="46">
        <f t="shared" si="99"/>
        <v>0</v>
      </c>
      <c r="P257" s="67">
        <f t="shared" si="124"/>
        <v>0</v>
      </c>
    </row>
    <row r="258" spans="1:16" s="21" customFormat="1" x14ac:dyDescent="0.25">
      <c r="A258" s="503"/>
      <c r="B258" s="504"/>
      <c r="C258" s="505"/>
      <c r="D258" s="106" t="s">
        <v>18</v>
      </c>
      <c r="E258" s="37">
        <f t="shared" si="116"/>
        <v>161303.95160223328</v>
      </c>
      <c r="F258" s="67">
        <v>0</v>
      </c>
      <c r="G258" s="67">
        <v>0</v>
      </c>
      <c r="H258" s="67">
        <f>H192+H156+H121</f>
        <v>0</v>
      </c>
      <c r="I258" s="189">
        <f t="shared" si="121"/>
        <v>6274.0752499999999</v>
      </c>
      <c r="J258" s="67">
        <f t="shared" si="121"/>
        <v>13067.558051800001</v>
      </c>
      <c r="K258" s="67">
        <f t="shared" si="121"/>
        <v>19608.055013871999</v>
      </c>
      <c r="L258" s="67">
        <f t="shared" si="121"/>
        <v>122354.26328656127</v>
      </c>
      <c r="N258" s="46">
        <f t="shared" si="99"/>
        <v>2311.2565299999997</v>
      </c>
      <c r="P258" s="67">
        <f t="shared" si="124"/>
        <v>3962.8187200000002</v>
      </c>
    </row>
    <row r="259" spans="1:16" s="21" customFormat="1" x14ac:dyDescent="0.25">
      <c r="A259" s="539" t="s">
        <v>178</v>
      </c>
      <c r="B259" s="540"/>
      <c r="C259" s="541"/>
      <c r="D259" s="106" t="s">
        <v>12</v>
      </c>
      <c r="E259" s="37">
        <f t="shared" si="116"/>
        <v>1409305.7978000001</v>
      </c>
      <c r="F259" s="75">
        <f t="shared" ref="F259:L259" si="125">SUM(F260:F265)</f>
        <v>265344.92694999999</v>
      </c>
      <c r="G259" s="37">
        <f t="shared" si="125"/>
        <v>264161.92694999999</v>
      </c>
      <c r="H259" s="37">
        <f t="shared" si="125"/>
        <v>264161.92694999999</v>
      </c>
      <c r="I259" s="185">
        <f t="shared" si="125"/>
        <v>462111.92694999999</v>
      </c>
      <c r="J259" s="37">
        <f t="shared" si="125"/>
        <v>153525.09</v>
      </c>
      <c r="K259" s="37">
        <f t="shared" si="125"/>
        <v>0</v>
      </c>
      <c r="L259" s="37">
        <f t="shared" si="125"/>
        <v>0</v>
      </c>
      <c r="N259" s="46">
        <f t="shared" si="99"/>
        <v>-20803.127659999998</v>
      </c>
      <c r="P259" s="37">
        <f t="shared" ref="P259" si="126">SUM(P260:P265)</f>
        <v>482915.05460999999</v>
      </c>
    </row>
    <row r="260" spans="1:16" s="21" customFormat="1" x14ac:dyDescent="0.25">
      <c r="A260" s="542"/>
      <c r="B260" s="543"/>
      <c r="C260" s="544"/>
      <c r="D260" s="106" t="s">
        <v>13</v>
      </c>
      <c r="E260" s="37">
        <f t="shared" si="116"/>
        <v>0</v>
      </c>
      <c r="F260" s="39">
        <f t="shared" ref="F260:L265" si="127">F52</f>
        <v>0</v>
      </c>
      <c r="G260" s="39">
        <f t="shared" si="127"/>
        <v>0</v>
      </c>
      <c r="H260" s="39">
        <f t="shared" si="127"/>
        <v>0</v>
      </c>
      <c r="I260" s="189">
        <f t="shared" si="127"/>
        <v>0</v>
      </c>
      <c r="J260" s="39">
        <f t="shared" si="127"/>
        <v>0</v>
      </c>
      <c r="K260" s="39">
        <f t="shared" si="127"/>
        <v>0</v>
      </c>
      <c r="L260" s="39">
        <f t="shared" si="127"/>
        <v>0</v>
      </c>
      <c r="N260" s="46">
        <f t="shared" si="99"/>
        <v>0</v>
      </c>
      <c r="P260" s="39">
        <f t="shared" ref="P260:P265" si="128">P52</f>
        <v>0</v>
      </c>
    </row>
    <row r="261" spans="1:16" s="21" customFormat="1" x14ac:dyDescent="0.25">
      <c r="A261" s="542"/>
      <c r="B261" s="543"/>
      <c r="C261" s="544"/>
      <c r="D261" s="106" t="s">
        <v>14</v>
      </c>
      <c r="E261" s="37">
        <f t="shared" si="116"/>
        <v>0</v>
      </c>
      <c r="F261" s="39">
        <f t="shared" si="127"/>
        <v>0</v>
      </c>
      <c r="G261" s="39">
        <f t="shared" si="127"/>
        <v>0</v>
      </c>
      <c r="H261" s="39">
        <f t="shared" si="127"/>
        <v>0</v>
      </c>
      <c r="I261" s="189">
        <f t="shared" si="127"/>
        <v>0</v>
      </c>
      <c r="J261" s="39">
        <f t="shared" si="127"/>
        <v>0</v>
      </c>
      <c r="K261" s="39">
        <f t="shared" si="127"/>
        <v>0</v>
      </c>
      <c r="L261" s="39">
        <f t="shared" si="127"/>
        <v>0</v>
      </c>
      <c r="N261" s="46">
        <f t="shared" si="99"/>
        <v>0</v>
      </c>
      <c r="P261" s="39">
        <f t="shared" si="128"/>
        <v>0</v>
      </c>
    </row>
    <row r="262" spans="1:16" s="21" customFormat="1" x14ac:dyDescent="0.25">
      <c r="A262" s="542"/>
      <c r="B262" s="543"/>
      <c r="C262" s="544"/>
      <c r="D262" s="106" t="s">
        <v>15</v>
      </c>
      <c r="E262" s="41">
        <f t="shared" si="116"/>
        <v>1057830.7078</v>
      </c>
      <c r="F262" s="76">
        <f t="shared" si="127"/>
        <v>265344.92694999999</v>
      </c>
      <c r="G262" s="39">
        <f t="shared" si="127"/>
        <v>264161.92694999999</v>
      </c>
      <c r="H262" s="39">
        <f t="shared" si="127"/>
        <v>264161.92694999999</v>
      </c>
      <c r="I262" s="189">
        <f t="shared" si="127"/>
        <v>264161.92694999999</v>
      </c>
      <c r="J262" s="39">
        <f t="shared" si="127"/>
        <v>0</v>
      </c>
      <c r="K262" s="39">
        <f t="shared" si="127"/>
        <v>0</v>
      </c>
      <c r="L262" s="39">
        <f t="shared" si="127"/>
        <v>0</v>
      </c>
      <c r="N262" s="46">
        <f t="shared" si="99"/>
        <v>243358.79929</v>
      </c>
      <c r="P262" s="39">
        <f t="shared" si="128"/>
        <v>20803.127659999998</v>
      </c>
    </row>
    <row r="263" spans="1:16" s="21" customFormat="1" ht="30" x14ac:dyDescent="0.25">
      <c r="A263" s="542"/>
      <c r="B263" s="543"/>
      <c r="C263" s="544"/>
      <c r="D263" s="105" t="s">
        <v>91</v>
      </c>
      <c r="E263" s="37">
        <f t="shared" si="116"/>
        <v>0</v>
      </c>
      <c r="F263" s="39">
        <f t="shared" si="127"/>
        <v>0</v>
      </c>
      <c r="G263" s="39">
        <f t="shared" si="127"/>
        <v>0</v>
      </c>
      <c r="H263" s="39">
        <f t="shared" si="127"/>
        <v>0</v>
      </c>
      <c r="I263" s="189">
        <f t="shared" si="127"/>
        <v>0</v>
      </c>
      <c r="J263" s="39">
        <f t="shared" si="127"/>
        <v>0</v>
      </c>
      <c r="K263" s="39">
        <f t="shared" si="127"/>
        <v>0</v>
      </c>
      <c r="L263" s="39">
        <f t="shared" si="127"/>
        <v>0</v>
      </c>
      <c r="N263" s="46">
        <f t="shared" si="99"/>
        <v>0</v>
      </c>
      <c r="P263" s="39">
        <f t="shared" si="128"/>
        <v>0</v>
      </c>
    </row>
    <row r="264" spans="1:16" s="21" customFormat="1" x14ac:dyDescent="0.25">
      <c r="A264" s="542"/>
      <c r="B264" s="543"/>
      <c r="C264" s="544"/>
      <c r="D264" s="105" t="s">
        <v>99</v>
      </c>
      <c r="E264" s="37">
        <f t="shared" si="116"/>
        <v>0</v>
      </c>
      <c r="F264" s="39">
        <f t="shared" si="127"/>
        <v>0</v>
      </c>
      <c r="G264" s="39">
        <f t="shared" si="127"/>
        <v>0</v>
      </c>
      <c r="H264" s="39">
        <f t="shared" si="127"/>
        <v>0</v>
      </c>
      <c r="I264" s="189">
        <f t="shared" si="127"/>
        <v>0</v>
      </c>
      <c r="J264" s="39">
        <f t="shared" si="127"/>
        <v>0</v>
      </c>
      <c r="K264" s="39">
        <f t="shared" si="127"/>
        <v>0</v>
      </c>
      <c r="L264" s="39">
        <f t="shared" si="127"/>
        <v>0</v>
      </c>
      <c r="N264" s="46">
        <f t="shared" si="99"/>
        <v>0</v>
      </c>
      <c r="P264" s="39">
        <f t="shared" si="128"/>
        <v>0</v>
      </c>
    </row>
    <row r="265" spans="1:16" s="21" customFormat="1" x14ac:dyDescent="0.25">
      <c r="A265" s="545"/>
      <c r="B265" s="546"/>
      <c r="C265" s="547"/>
      <c r="D265" s="40" t="s">
        <v>18</v>
      </c>
      <c r="E265" s="37">
        <f t="shared" si="116"/>
        <v>351475.08999999997</v>
      </c>
      <c r="F265" s="39">
        <f t="shared" si="127"/>
        <v>0</v>
      </c>
      <c r="G265" s="39">
        <f t="shared" si="127"/>
        <v>0</v>
      </c>
      <c r="H265" s="39">
        <f t="shared" si="127"/>
        <v>0</v>
      </c>
      <c r="I265" s="189">
        <f t="shared" si="127"/>
        <v>197950</v>
      </c>
      <c r="J265" s="39">
        <f t="shared" si="127"/>
        <v>153525.09</v>
      </c>
      <c r="K265" s="39">
        <f t="shared" si="127"/>
        <v>0</v>
      </c>
      <c r="L265" s="39">
        <f t="shared" si="127"/>
        <v>0</v>
      </c>
      <c r="N265" s="46">
        <f t="shared" si="99"/>
        <v>-264161.92694999999</v>
      </c>
      <c r="P265" s="39">
        <f t="shared" si="128"/>
        <v>462111.92694999999</v>
      </c>
    </row>
    <row r="266" spans="1:16" s="21" customFormat="1" x14ac:dyDescent="0.25">
      <c r="A266" s="539" t="s">
        <v>177</v>
      </c>
      <c r="B266" s="540"/>
      <c r="C266" s="541"/>
      <c r="D266" s="106" t="s">
        <v>12</v>
      </c>
      <c r="E266" s="37">
        <f t="shared" ref="E266:E279" si="129">SUM(F266:L266)</f>
        <v>29238.943629999998</v>
      </c>
      <c r="F266" s="75">
        <f t="shared" ref="F266:L266" si="130">SUM(F267:F272)</f>
        <v>1691.9242900000002</v>
      </c>
      <c r="G266" s="37">
        <f t="shared" si="130"/>
        <v>1872.46696</v>
      </c>
      <c r="H266" s="37">
        <f t="shared" si="130"/>
        <v>994.7523799999999</v>
      </c>
      <c r="I266" s="185">
        <f t="shared" si="130"/>
        <v>2742.2</v>
      </c>
      <c r="J266" s="37">
        <f t="shared" si="130"/>
        <v>2742.2</v>
      </c>
      <c r="K266" s="37">
        <f t="shared" si="130"/>
        <v>2742.2</v>
      </c>
      <c r="L266" s="37">
        <f t="shared" si="130"/>
        <v>16453.199999999997</v>
      </c>
      <c r="N266" s="46">
        <f t="shared" si="99"/>
        <v>0</v>
      </c>
      <c r="P266" s="37">
        <f t="shared" ref="P266" si="131">SUM(P267:P272)</f>
        <v>2742.2</v>
      </c>
    </row>
    <row r="267" spans="1:16" s="21" customFormat="1" x14ac:dyDescent="0.25">
      <c r="A267" s="542"/>
      <c r="B267" s="543"/>
      <c r="C267" s="544"/>
      <c r="D267" s="106" t="s">
        <v>13</v>
      </c>
      <c r="E267" s="37">
        <f t="shared" si="129"/>
        <v>0</v>
      </c>
      <c r="F267" s="39">
        <f>F116</f>
        <v>0</v>
      </c>
      <c r="G267" s="39">
        <f t="shared" ref="G267:L267" si="132">G116</f>
        <v>0</v>
      </c>
      <c r="H267" s="39">
        <f t="shared" si="132"/>
        <v>0</v>
      </c>
      <c r="I267" s="189">
        <f t="shared" si="132"/>
        <v>0</v>
      </c>
      <c r="J267" s="39">
        <f t="shared" si="132"/>
        <v>0</v>
      </c>
      <c r="K267" s="39">
        <f t="shared" si="132"/>
        <v>0</v>
      </c>
      <c r="L267" s="39">
        <f t="shared" si="132"/>
        <v>0</v>
      </c>
      <c r="N267" s="46">
        <f t="shared" si="99"/>
        <v>0</v>
      </c>
      <c r="P267" s="39">
        <f t="shared" ref="P267:P272" si="133">P116</f>
        <v>0</v>
      </c>
    </row>
    <row r="268" spans="1:16" s="21" customFormat="1" x14ac:dyDescent="0.25">
      <c r="A268" s="542"/>
      <c r="B268" s="543"/>
      <c r="C268" s="544"/>
      <c r="D268" s="106" t="s">
        <v>14</v>
      </c>
      <c r="E268" s="37">
        <f t="shared" si="129"/>
        <v>0</v>
      </c>
      <c r="F268" s="39">
        <f t="shared" ref="F268:L272" si="134">F117</f>
        <v>0</v>
      </c>
      <c r="G268" s="39">
        <f t="shared" si="134"/>
        <v>0</v>
      </c>
      <c r="H268" s="39">
        <f t="shared" si="134"/>
        <v>0</v>
      </c>
      <c r="I268" s="189">
        <f t="shared" si="134"/>
        <v>0</v>
      </c>
      <c r="J268" s="39">
        <f t="shared" si="134"/>
        <v>0</v>
      </c>
      <c r="K268" s="39">
        <f t="shared" si="134"/>
        <v>0</v>
      </c>
      <c r="L268" s="39">
        <f t="shared" si="134"/>
        <v>0</v>
      </c>
      <c r="N268" s="46">
        <f t="shared" si="99"/>
        <v>0</v>
      </c>
      <c r="P268" s="39">
        <f t="shared" si="133"/>
        <v>0</v>
      </c>
    </row>
    <row r="269" spans="1:16" s="21" customFormat="1" x14ac:dyDescent="0.25">
      <c r="A269" s="542"/>
      <c r="B269" s="543"/>
      <c r="C269" s="544"/>
      <c r="D269" s="106" t="s">
        <v>15</v>
      </c>
      <c r="E269" s="41">
        <f t="shared" si="129"/>
        <v>29238.943629999998</v>
      </c>
      <c r="F269" s="76">
        <f t="shared" si="134"/>
        <v>1691.9242900000002</v>
      </c>
      <c r="G269" s="39">
        <f t="shared" si="134"/>
        <v>1872.46696</v>
      </c>
      <c r="H269" s="39">
        <f t="shared" si="134"/>
        <v>994.7523799999999</v>
      </c>
      <c r="I269" s="189">
        <f t="shared" si="134"/>
        <v>2742.2</v>
      </c>
      <c r="J269" s="39">
        <f t="shared" si="134"/>
        <v>2742.2</v>
      </c>
      <c r="K269" s="39">
        <f t="shared" si="134"/>
        <v>2742.2</v>
      </c>
      <c r="L269" s="39">
        <f t="shared" si="134"/>
        <v>16453.199999999997</v>
      </c>
      <c r="N269" s="46">
        <f t="shared" si="99"/>
        <v>0</v>
      </c>
      <c r="P269" s="39">
        <f t="shared" si="133"/>
        <v>2742.2</v>
      </c>
    </row>
    <row r="270" spans="1:16" s="21" customFormat="1" ht="30" x14ac:dyDescent="0.25">
      <c r="A270" s="542"/>
      <c r="B270" s="543"/>
      <c r="C270" s="544"/>
      <c r="D270" s="105" t="s">
        <v>91</v>
      </c>
      <c r="E270" s="37">
        <f t="shared" si="129"/>
        <v>0</v>
      </c>
      <c r="F270" s="39">
        <f t="shared" si="134"/>
        <v>0</v>
      </c>
      <c r="G270" s="39">
        <f t="shared" si="134"/>
        <v>0</v>
      </c>
      <c r="H270" s="39">
        <f t="shared" si="134"/>
        <v>0</v>
      </c>
      <c r="I270" s="189">
        <f t="shared" si="134"/>
        <v>0</v>
      </c>
      <c r="J270" s="39">
        <f t="shared" si="134"/>
        <v>0</v>
      </c>
      <c r="K270" s="39">
        <f t="shared" si="134"/>
        <v>0</v>
      </c>
      <c r="L270" s="39">
        <f t="shared" si="134"/>
        <v>0</v>
      </c>
      <c r="N270" s="46">
        <f t="shared" si="99"/>
        <v>0</v>
      </c>
      <c r="P270" s="39">
        <f t="shared" si="133"/>
        <v>0</v>
      </c>
    </row>
    <row r="271" spans="1:16" s="21" customFormat="1" x14ac:dyDescent="0.25">
      <c r="A271" s="542"/>
      <c r="B271" s="543"/>
      <c r="C271" s="544"/>
      <c r="D271" s="105" t="s">
        <v>99</v>
      </c>
      <c r="E271" s="37">
        <f t="shared" si="129"/>
        <v>0</v>
      </c>
      <c r="F271" s="39">
        <f t="shared" si="134"/>
        <v>0</v>
      </c>
      <c r="G271" s="39">
        <f t="shared" si="134"/>
        <v>0</v>
      </c>
      <c r="H271" s="39">
        <f t="shared" si="134"/>
        <v>0</v>
      </c>
      <c r="I271" s="189">
        <f t="shared" si="134"/>
        <v>0</v>
      </c>
      <c r="J271" s="39">
        <f t="shared" si="134"/>
        <v>0</v>
      </c>
      <c r="K271" s="39">
        <f t="shared" si="134"/>
        <v>0</v>
      </c>
      <c r="L271" s="39">
        <f t="shared" si="134"/>
        <v>0</v>
      </c>
      <c r="N271" s="46">
        <f t="shared" si="99"/>
        <v>0</v>
      </c>
      <c r="P271" s="39">
        <f t="shared" si="133"/>
        <v>0</v>
      </c>
    </row>
    <row r="272" spans="1:16" s="21" customFormat="1" x14ac:dyDescent="0.25">
      <c r="A272" s="545"/>
      <c r="B272" s="546"/>
      <c r="C272" s="547"/>
      <c r="D272" s="40" t="s">
        <v>18</v>
      </c>
      <c r="E272" s="37">
        <f t="shared" si="129"/>
        <v>0</v>
      </c>
      <c r="F272" s="39">
        <f t="shared" si="134"/>
        <v>0</v>
      </c>
      <c r="G272" s="39">
        <f t="shared" si="134"/>
        <v>0</v>
      </c>
      <c r="H272" s="39">
        <f t="shared" si="134"/>
        <v>0</v>
      </c>
      <c r="I272" s="189">
        <f t="shared" si="134"/>
        <v>0</v>
      </c>
      <c r="J272" s="39">
        <f t="shared" si="134"/>
        <v>0</v>
      </c>
      <c r="K272" s="39">
        <f t="shared" si="134"/>
        <v>0</v>
      </c>
      <c r="L272" s="39">
        <f t="shared" si="134"/>
        <v>0</v>
      </c>
      <c r="N272" s="46">
        <f t="shared" si="99"/>
        <v>0</v>
      </c>
      <c r="P272" s="39">
        <f t="shared" si="133"/>
        <v>0</v>
      </c>
    </row>
    <row r="273" spans="1:16" s="21" customFormat="1" x14ac:dyDescent="0.25">
      <c r="A273" s="539" t="s">
        <v>145</v>
      </c>
      <c r="B273" s="540"/>
      <c r="C273" s="541"/>
      <c r="D273" s="106" t="s">
        <v>12</v>
      </c>
      <c r="E273" s="42">
        <f t="shared" si="129"/>
        <v>4503.81358</v>
      </c>
      <c r="F273" s="42">
        <f t="shared" ref="F273:L273" si="135">SUM(F274:F279)</f>
        <v>0</v>
      </c>
      <c r="G273" s="42">
        <f t="shared" si="135"/>
        <v>1301.5999999999999</v>
      </c>
      <c r="H273" s="42">
        <f t="shared" si="135"/>
        <v>1449.7</v>
      </c>
      <c r="I273" s="191">
        <f t="shared" si="135"/>
        <v>1752.51358</v>
      </c>
      <c r="J273" s="42">
        <f t="shared" si="135"/>
        <v>0</v>
      </c>
      <c r="K273" s="42">
        <f t="shared" si="135"/>
        <v>0</v>
      </c>
      <c r="L273" s="42">
        <f t="shared" si="135"/>
        <v>0</v>
      </c>
      <c r="N273" s="46">
        <f t="shared" si="99"/>
        <v>1752.51358</v>
      </c>
      <c r="P273" s="42">
        <f t="shared" ref="P273" si="136">SUM(P274:P279)</f>
        <v>0</v>
      </c>
    </row>
    <row r="274" spans="1:16" s="21" customFormat="1" x14ac:dyDescent="0.25">
      <c r="A274" s="542"/>
      <c r="B274" s="543"/>
      <c r="C274" s="544"/>
      <c r="D274" s="106" t="s">
        <v>13</v>
      </c>
      <c r="E274" s="37">
        <f t="shared" si="129"/>
        <v>0</v>
      </c>
      <c r="F274" s="39">
        <f>F123</f>
        <v>0</v>
      </c>
      <c r="G274" s="39">
        <f t="shared" ref="G274:L279" si="137">G123</f>
        <v>0</v>
      </c>
      <c r="H274" s="39">
        <f t="shared" si="137"/>
        <v>0</v>
      </c>
      <c r="I274" s="189">
        <f t="shared" si="137"/>
        <v>0</v>
      </c>
      <c r="J274" s="39">
        <f t="shared" si="137"/>
        <v>0</v>
      </c>
      <c r="K274" s="39">
        <f t="shared" si="137"/>
        <v>0</v>
      </c>
      <c r="L274" s="39">
        <f t="shared" si="137"/>
        <v>0</v>
      </c>
      <c r="N274" s="46">
        <f t="shared" si="99"/>
        <v>0</v>
      </c>
      <c r="P274" s="39">
        <f t="shared" ref="P274:P279" si="138">P123</f>
        <v>0</v>
      </c>
    </row>
    <row r="275" spans="1:16" s="21" customFormat="1" x14ac:dyDescent="0.25">
      <c r="A275" s="542"/>
      <c r="B275" s="543"/>
      <c r="C275" s="544"/>
      <c r="D275" s="106" t="s">
        <v>14</v>
      </c>
      <c r="E275" s="37">
        <f t="shared" si="129"/>
        <v>500</v>
      </c>
      <c r="F275" s="39">
        <f t="shared" ref="F275:F279" si="139">F124</f>
        <v>0</v>
      </c>
      <c r="G275" s="39">
        <f t="shared" si="137"/>
        <v>0</v>
      </c>
      <c r="H275" s="39">
        <f t="shared" si="137"/>
        <v>0</v>
      </c>
      <c r="I275" s="189">
        <f t="shared" si="137"/>
        <v>500</v>
      </c>
      <c r="J275" s="39">
        <f t="shared" si="137"/>
        <v>0</v>
      </c>
      <c r="K275" s="39">
        <f t="shared" si="137"/>
        <v>0</v>
      </c>
      <c r="L275" s="39">
        <f t="shared" si="137"/>
        <v>0</v>
      </c>
      <c r="N275" s="46">
        <f t="shared" si="99"/>
        <v>500</v>
      </c>
      <c r="P275" s="39">
        <f t="shared" si="138"/>
        <v>0</v>
      </c>
    </row>
    <row r="276" spans="1:16" s="21" customFormat="1" x14ac:dyDescent="0.25">
      <c r="A276" s="542"/>
      <c r="B276" s="543"/>
      <c r="C276" s="544"/>
      <c r="D276" s="106" t="s">
        <v>15</v>
      </c>
      <c r="E276" s="41">
        <f t="shared" si="129"/>
        <v>4003.81358</v>
      </c>
      <c r="F276" s="39">
        <f t="shared" si="139"/>
        <v>0</v>
      </c>
      <c r="G276" s="39">
        <f t="shared" si="137"/>
        <v>1301.5999999999999</v>
      </c>
      <c r="H276" s="39">
        <f t="shared" si="137"/>
        <v>1449.7</v>
      </c>
      <c r="I276" s="189">
        <f t="shared" si="137"/>
        <v>1252.51358</v>
      </c>
      <c r="J276" s="39">
        <f t="shared" si="137"/>
        <v>0</v>
      </c>
      <c r="K276" s="39">
        <f t="shared" si="137"/>
        <v>0</v>
      </c>
      <c r="L276" s="39">
        <f t="shared" si="137"/>
        <v>0</v>
      </c>
      <c r="N276" s="46">
        <f t="shared" si="99"/>
        <v>1252.51358</v>
      </c>
      <c r="P276" s="39">
        <f t="shared" si="138"/>
        <v>0</v>
      </c>
    </row>
    <row r="277" spans="1:16" s="21" customFormat="1" ht="30" x14ac:dyDescent="0.25">
      <c r="A277" s="542"/>
      <c r="B277" s="543"/>
      <c r="C277" s="544"/>
      <c r="D277" s="105" t="s">
        <v>91</v>
      </c>
      <c r="E277" s="37">
        <f t="shared" si="129"/>
        <v>0</v>
      </c>
      <c r="F277" s="39">
        <f t="shared" si="139"/>
        <v>0</v>
      </c>
      <c r="G277" s="39">
        <f t="shared" si="137"/>
        <v>0</v>
      </c>
      <c r="H277" s="39">
        <f t="shared" si="137"/>
        <v>0</v>
      </c>
      <c r="I277" s="189">
        <f t="shared" si="137"/>
        <v>0</v>
      </c>
      <c r="J277" s="39">
        <f t="shared" si="137"/>
        <v>0</v>
      </c>
      <c r="K277" s="39">
        <f t="shared" si="137"/>
        <v>0</v>
      </c>
      <c r="L277" s="39">
        <f t="shared" si="137"/>
        <v>0</v>
      </c>
      <c r="N277" s="46">
        <f t="shared" si="99"/>
        <v>0</v>
      </c>
      <c r="P277" s="39">
        <f t="shared" si="138"/>
        <v>0</v>
      </c>
    </row>
    <row r="278" spans="1:16" s="21" customFormat="1" x14ac:dyDescent="0.25">
      <c r="A278" s="542"/>
      <c r="B278" s="543"/>
      <c r="C278" s="544"/>
      <c r="D278" s="105" t="s">
        <v>99</v>
      </c>
      <c r="E278" s="37">
        <f t="shared" si="129"/>
        <v>0</v>
      </c>
      <c r="F278" s="39">
        <f t="shared" si="139"/>
        <v>0</v>
      </c>
      <c r="G278" s="39">
        <f t="shared" si="137"/>
        <v>0</v>
      </c>
      <c r="H278" s="39">
        <f t="shared" si="137"/>
        <v>0</v>
      </c>
      <c r="I278" s="189">
        <f t="shared" si="137"/>
        <v>0</v>
      </c>
      <c r="J278" s="39">
        <f t="shared" si="137"/>
        <v>0</v>
      </c>
      <c r="K278" s="39">
        <f t="shared" si="137"/>
        <v>0</v>
      </c>
      <c r="L278" s="39">
        <f t="shared" si="137"/>
        <v>0</v>
      </c>
      <c r="N278" s="46">
        <f t="shared" si="99"/>
        <v>0</v>
      </c>
      <c r="P278" s="39">
        <f t="shared" si="138"/>
        <v>0</v>
      </c>
    </row>
    <row r="279" spans="1:16" s="21" customFormat="1" x14ac:dyDescent="0.25">
      <c r="A279" s="545"/>
      <c r="B279" s="546"/>
      <c r="C279" s="547"/>
      <c r="D279" s="40" t="s">
        <v>18</v>
      </c>
      <c r="E279" s="37">
        <f t="shared" si="129"/>
        <v>0</v>
      </c>
      <c r="F279" s="39">
        <f t="shared" si="139"/>
        <v>0</v>
      </c>
      <c r="G279" s="39">
        <f t="shared" si="137"/>
        <v>0</v>
      </c>
      <c r="H279" s="39">
        <f t="shared" si="137"/>
        <v>0</v>
      </c>
      <c r="I279" s="189">
        <f t="shared" si="137"/>
        <v>0</v>
      </c>
      <c r="J279" s="39">
        <f t="shared" si="137"/>
        <v>0</v>
      </c>
      <c r="K279" s="39">
        <f t="shared" si="137"/>
        <v>0</v>
      </c>
      <c r="L279" s="39">
        <f t="shared" si="137"/>
        <v>0</v>
      </c>
      <c r="N279" s="46">
        <f t="shared" si="99"/>
        <v>0</v>
      </c>
      <c r="P279" s="39">
        <f t="shared" si="138"/>
        <v>0</v>
      </c>
    </row>
    <row r="280" spans="1:16" s="21" customFormat="1" x14ac:dyDescent="0.25">
      <c r="A280" s="43"/>
      <c r="B280" s="44"/>
      <c r="C280" s="45"/>
      <c r="D280" s="45"/>
      <c r="E280" s="45"/>
      <c r="F280" s="45"/>
      <c r="G280" s="45"/>
      <c r="H280" s="45"/>
      <c r="I280" s="192"/>
      <c r="J280" s="45"/>
      <c r="K280" s="45"/>
      <c r="L280" s="45"/>
      <c r="N280" s="46">
        <f t="shared" si="99"/>
        <v>0</v>
      </c>
      <c r="P280" s="45"/>
    </row>
    <row r="281" spans="1:16" s="21" customFormat="1" x14ac:dyDescent="0.25">
      <c r="A281" s="418" t="s">
        <v>100</v>
      </c>
      <c r="B281" s="418"/>
      <c r="C281" s="418"/>
      <c r="D281" s="418"/>
      <c r="E281" s="418"/>
      <c r="F281" s="418"/>
      <c r="G281" s="418"/>
      <c r="H281" s="418"/>
      <c r="I281" s="418"/>
      <c r="J281" s="418"/>
      <c r="K281" s="418"/>
      <c r="L281" s="418"/>
      <c r="N281" s="46">
        <f t="shared" si="99"/>
        <v>0</v>
      </c>
    </row>
    <row r="282" spans="1:16" s="21" customFormat="1" x14ac:dyDescent="0.25">
      <c r="A282" s="418" t="s">
        <v>101</v>
      </c>
      <c r="B282" s="418"/>
      <c r="C282" s="418"/>
      <c r="D282" s="418"/>
      <c r="E282" s="418"/>
      <c r="F282" s="418"/>
      <c r="G282" s="418"/>
      <c r="H282" s="418"/>
      <c r="I282" s="418"/>
      <c r="J282" s="418"/>
      <c r="K282" s="418"/>
      <c r="L282" s="418"/>
      <c r="N282" s="46">
        <f t="shared" si="99"/>
        <v>0</v>
      </c>
    </row>
    <row r="283" spans="1:16" s="21" customFormat="1" x14ac:dyDescent="0.25">
      <c r="A283" s="418" t="s">
        <v>104</v>
      </c>
      <c r="B283" s="418"/>
      <c r="C283" s="418"/>
      <c r="D283" s="418"/>
      <c r="E283" s="418"/>
      <c r="F283" s="418"/>
      <c r="G283" s="418"/>
      <c r="H283" s="418"/>
      <c r="I283" s="418"/>
      <c r="J283" s="418"/>
      <c r="K283" s="418"/>
      <c r="L283" s="418"/>
      <c r="N283" s="46">
        <f t="shared" si="99"/>
        <v>0</v>
      </c>
    </row>
    <row r="284" spans="1:16" s="21" customFormat="1" x14ac:dyDescent="0.25">
      <c r="A284" s="418" t="s">
        <v>105</v>
      </c>
      <c r="B284" s="418"/>
      <c r="C284" s="418"/>
      <c r="D284" s="418"/>
      <c r="E284" s="418"/>
      <c r="F284" s="418"/>
      <c r="G284" s="418"/>
      <c r="H284" s="418"/>
      <c r="I284" s="418"/>
      <c r="J284" s="418"/>
      <c r="K284" s="418"/>
      <c r="L284" s="418"/>
      <c r="N284" s="46">
        <f t="shared" si="99"/>
        <v>0</v>
      </c>
    </row>
    <row r="285" spans="1:16" s="21" customFormat="1" x14ac:dyDescent="0.25">
      <c r="A285" s="418" t="s">
        <v>102</v>
      </c>
      <c r="B285" s="418"/>
      <c r="C285" s="418"/>
      <c r="D285" s="418"/>
      <c r="E285" s="418"/>
      <c r="F285" s="418"/>
      <c r="G285" s="418"/>
      <c r="H285" s="418"/>
      <c r="I285" s="418"/>
      <c r="J285" s="418"/>
      <c r="K285" s="418"/>
      <c r="L285" s="418"/>
      <c r="N285" s="46">
        <f t="shared" si="99"/>
        <v>0</v>
      </c>
    </row>
    <row r="286" spans="1:16" s="21" customFormat="1" x14ac:dyDescent="0.25">
      <c r="A286" s="418" t="s">
        <v>103</v>
      </c>
      <c r="B286" s="418"/>
      <c r="C286" s="418"/>
      <c r="D286" s="418"/>
      <c r="E286" s="418"/>
      <c r="F286" s="418"/>
      <c r="G286" s="418"/>
      <c r="H286" s="418"/>
      <c r="I286" s="418"/>
      <c r="J286" s="418"/>
      <c r="K286" s="418"/>
      <c r="L286" s="418"/>
      <c r="N286" s="46">
        <f t="shared" si="99"/>
        <v>0</v>
      </c>
    </row>
    <row r="287" spans="1:16" s="21" customFormat="1" x14ac:dyDescent="0.25">
      <c r="A287" s="19"/>
      <c r="B287" s="20"/>
      <c r="E287" s="46"/>
      <c r="F287" s="46"/>
      <c r="G287" s="46"/>
      <c r="H287" s="46"/>
      <c r="I287" s="193"/>
      <c r="J287" s="46"/>
      <c r="K287" s="46"/>
      <c r="L287" s="46"/>
      <c r="N287" s="46">
        <f t="shared" ref="N287:N334" si="140">I287-P287</f>
        <v>0</v>
      </c>
      <c r="P287" s="46"/>
    </row>
    <row r="288" spans="1:16" s="21" customFormat="1" x14ac:dyDescent="0.25">
      <c r="A288" s="19"/>
      <c r="B288" s="20"/>
      <c r="E288" s="46"/>
      <c r="F288" s="46"/>
      <c r="G288" s="46"/>
      <c r="H288" s="46"/>
      <c r="I288" s="193"/>
      <c r="J288" s="46"/>
      <c r="K288" s="46"/>
      <c r="L288" s="46"/>
      <c r="N288" s="46">
        <f t="shared" si="140"/>
        <v>0</v>
      </c>
      <c r="P288" s="46"/>
    </row>
    <row r="289" spans="2:18" s="21" customFormat="1" x14ac:dyDescent="0.25">
      <c r="B289" s="20" t="s">
        <v>154</v>
      </c>
      <c r="E289" s="46"/>
      <c r="F289" s="46"/>
      <c r="G289" s="46"/>
      <c r="H289" s="46"/>
      <c r="I289" s="193"/>
      <c r="J289" s="46"/>
      <c r="K289" s="46"/>
      <c r="L289" s="46"/>
      <c r="N289" s="46">
        <f t="shared" si="140"/>
        <v>0</v>
      </c>
      <c r="P289" s="46"/>
      <c r="R289" s="88"/>
    </row>
    <row r="290" spans="2:18" s="21" customFormat="1" x14ac:dyDescent="0.25">
      <c r="B290" s="20"/>
      <c r="E290" s="46">
        <f>E207-E215-E222</f>
        <v>0</v>
      </c>
      <c r="F290" s="46">
        <f t="shared" ref="F290:L290" si="141">F207-F215-F222</f>
        <v>0</v>
      </c>
      <c r="G290" s="46">
        <f t="shared" si="141"/>
        <v>0</v>
      </c>
      <c r="H290" s="46">
        <f t="shared" si="141"/>
        <v>0</v>
      </c>
      <c r="I290" s="193">
        <f t="shared" si="141"/>
        <v>0</v>
      </c>
      <c r="J290" s="46">
        <f t="shared" si="141"/>
        <v>0</v>
      </c>
      <c r="K290" s="46">
        <f t="shared" si="141"/>
        <v>0</v>
      </c>
      <c r="L290" s="46">
        <f t="shared" si="141"/>
        <v>0</v>
      </c>
      <c r="N290" s="46">
        <f t="shared" si="140"/>
        <v>0</v>
      </c>
      <c r="P290" s="46">
        <f t="shared" ref="P290:P296" si="142">P207-P215-P222</f>
        <v>0</v>
      </c>
      <c r="R290" s="88"/>
    </row>
    <row r="291" spans="2:18" s="21" customFormat="1" x14ac:dyDescent="0.25">
      <c r="B291" s="20"/>
      <c r="E291" s="46">
        <f t="shared" ref="E291:L296" si="143">E208-E216-E223</f>
        <v>0</v>
      </c>
      <c r="F291" s="46">
        <f t="shared" si="143"/>
        <v>0</v>
      </c>
      <c r="G291" s="46">
        <f t="shared" si="143"/>
        <v>0</v>
      </c>
      <c r="H291" s="46">
        <f t="shared" si="143"/>
        <v>0</v>
      </c>
      <c r="I291" s="193">
        <f t="shared" si="143"/>
        <v>0</v>
      </c>
      <c r="J291" s="46">
        <f t="shared" si="143"/>
        <v>0</v>
      </c>
      <c r="K291" s="46">
        <f t="shared" si="143"/>
        <v>0</v>
      </c>
      <c r="L291" s="46">
        <f t="shared" si="143"/>
        <v>0</v>
      </c>
      <c r="N291" s="46">
        <f t="shared" si="140"/>
        <v>0</v>
      </c>
      <c r="P291" s="46">
        <f t="shared" si="142"/>
        <v>0</v>
      </c>
      <c r="R291" s="88"/>
    </row>
    <row r="292" spans="2:18" s="21" customFormat="1" x14ac:dyDescent="0.25">
      <c r="B292" s="20"/>
      <c r="E292" s="46">
        <f t="shared" si="143"/>
        <v>0</v>
      </c>
      <c r="F292" s="46">
        <f t="shared" si="143"/>
        <v>0</v>
      </c>
      <c r="G292" s="46">
        <f t="shared" si="143"/>
        <v>0</v>
      </c>
      <c r="H292" s="46">
        <f t="shared" si="143"/>
        <v>0</v>
      </c>
      <c r="I292" s="193">
        <f t="shared" si="143"/>
        <v>0</v>
      </c>
      <c r="J292" s="46">
        <f t="shared" si="143"/>
        <v>0</v>
      </c>
      <c r="K292" s="46">
        <f t="shared" si="143"/>
        <v>0</v>
      </c>
      <c r="L292" s="46">
        <f t="shared" si="143"/>
        <v>0</v>
      </c>
      <c r="N292" s="46">
        <f t="shared" si="140"/>
        <v>0</v>
      </c>
      <c r="P292" s="46">
        <f t="shared" si="142"/>
        <v>0</v>
      </c>
      <c r="R292" s="88"/>
    </row>
    <row r="293" spans="2:18" s="21" customFormat="1" x14ac:dyDescent="0.25">
      <c r="B293" s="20"/>
      <c r="E293" s="46">
        <f t="shared" si="143"/>
        <v>0</v>
      </c>
      <c r="F293" s="46">
        <f t="shared" si="143"/>
        <v>0</v>
      </c>
      <c r="G293" s="46">
        <f t="shared" si="143"/>
        <v>0</v>
      </c>
      <c r="H293" s="46">
        <f t="shared" si="143"/>
        <v>0</v>
      </c>
      <c r="I293" s="193">
        <f t="shared" si="143"/>
        <v>0</v>
      </c>
      <c r="J293" s="46">
        <f t="shared" si="143"/>
        <v>0</v>
      </c>
      <c r="K293" s="46">
        <f t="shared" si="143"/>
        <v>0</v>
      </c>
      <c r="L293" s="46">
        <f t="shared" si="143"/>
        <v>0</v>
      </c>
      <c r="N293" s="46">
        <f t="shared" si="140"/>
        <v>0</v>
      </c>
      <c r="P293" s="46">
        <f t="shared" si="142"/>
        <v>0</v>
      </c>
      <c r="R293" s="88"/>
    </row>
    <row r="294" spans="2:18" s="21" customFormat="1" x14ac:dyDescent="0.25">
      <c r="B294" s="20"/>
      <c r="E294" s="46">
        <f t="shared" si="143"/>
        <v>0</v>
      </c>
      <c r="F294" s="46">
        <f t="shared" si="143"/>
        <v>0</v>
      </c>
      <c r="G294" s="46">
        <f t="shared" si="143"/>
        <v>0</v>
      </c>
      <c r="H294" s="46">
        <f t="shared" si="143"/>
        <v>0</v>
      </c>
      <c r="I294" s="193">
        <f t="shared" si="143"/>
        <v>0</v>
      </c>
      <c r="J294" s="46">
        <f t="shared" si="143"/>
        <v>0</v>
      </c>
      <c r="K294" s="46">
        <f t="shared" si="143"/>
        <v>0</v>
      </c>
      <c r="L294" s="46">
        <f t="shared" si="143"/>
        <v>0</v>
      </c>
      <c r="N294" s="46">
        <f t="shared" si="140"/>
        <v>0</v>
      </c>
      <c r="P294" s="46">
        <f t="shared" si="142"/>
        <v>0</v>
      </c>
      <c r="R294" s="88"/>
    </row>
    <row r="295" spans="2:18" s="21" customFormat="1" x14ac:dyDescent="0.25">
      <c r="B295" s="20"/>
      <c r="E295" s="46">
        <f t="shared" si="143"/>
        <v>0</v>
      </c>
      <c r="F295" s="46">
        <f t="shared" si="143"/>
        <v>0</v>
      </c>
      <c r="G295" s="46">
        <f t="shared" si="143"/>
        <v>0</v>
      </c>
      <c r="H295" s="46">
        <f t="shared" si="143"/>
        <v>0</v>
      </c>
      <c r="I295" s="193">
        <f t="shared" si="143"/>
        <v>0</v>
      </c>
      <c r="J295" s="46">
        <f t="shared" si="143"/>
        <v>0</v>
      </c>
      <c r="K295" s="46">
        <f t="shared" si="143"/>
        <v>0</v>
      </c>
      <c r="L295" s="46">
        <f t="shared" si="143"/>
        <v>0</v>
      </c>
      <c r="N295" s="46">
        <f t="shared" si="140"/>
        <v>0</v>
      </c>
      <c r="P295" s="46">
        <f t="shared" si="142"/>
        <v>0</v>
      </c>
      <c r="R295" s="88"/>
    </row>
    <row r="296" spans="2:18" s="21" customFormat="1" x14ac:dyDescent="0.25">
      <c r="B296" s="20"/>
      <c r="E296" s="46">
        <f t="shared" si="143"/>
        <v>0</v>
      </c>
      <c r="F296" s="46">
        <f t="shared" si="143"/>
        <v>0</v>
      </c>
      <c r="G296" s="46">
        <f t="shared" si="143"/>
        <v>0</v>
      </c>
      <c r="H296" s="46">
        <f t="shared" si="143"/>
        <v>0</v>
      </c>
      <c r="I296" s="193">
        <f t="shared" si="143"/>
        <v>0</v>
      </c>
      <c r="J296" s="46">
        <f t="shared" si="143"/>
        <v>0</v>
      </c>
      <c r="K296" s="46">
        <f t="shared" si="143"/>
        <v>0</v>
      </c>
      <c r="L296" s="46">
        <f t="shared" si="143"/>
        <v>0</v>
      </c>
      <c r="N296" s="46">
        <f t="shared" si="140"/>
        <v>0</v>
      </c>
      <c r="P296" s="46">
        <f t="shared" si="142"/>
        <v>0</v>
      </c>
      <c r="R296" s="88"/>
    </row>
    <row r="297" spans="2:18" s="21" customFormat="1" x14ac:dyDescent="0.25">
      <c r="B297" s="20"/>
      <c r="E297" s="46"/>
      <c r="F297" s="46"/>
      <c r="G297" s="46"/>
      <c r="H297" s="46"/>
      <c r="I297" s="193"/>
      <c r="J297" s="46"/>
      <c r="K297" s="46"/>
      <c r="L297" s="46"/>
      <c r="N297" s="46">
        <f t="shared" si="140"/>
        <v>0</v>
      </c>
      <c r="P297" s="46"/>
      <c r="R297" s="88"/>
    </row>
    <row r="298" spans="2:18" s="21" customFormat="1" x14ac:dyDescent="0.25">
      <c r="B298" s="20"/>
      <c r="E298" s="46"/>
      <c r="F298" s="46"/>
      <c r="G298" s="46"/>
      <c r="H298" s="46"/>
      <c r="I298" s="193"/>
      <c r="J298" s="46"/>
      <c r="K298" s="46"/>
      <c r="L298" s="46"/>
      <c r="N298" s="46">
        <f t="shared" si="140"/>
        <v>0</v>
      </c>
      <c r="P298" s="46"/>
      <c r="R298" s="88"/>
    </row>
    <row r="299" spans="2:18" s="21" customFormat="1" x14ac:dyDescent="0.25">
      <c r="B299" s="20"/>
      <c r="E299" s="46"/>
      <c r="F299" s="46"/>
      <c r="G299" s="46"/>
      <c r="H299" s="46"/>
      <c r="I299" s="193"/>
      <c r="J299" s="46"/>
      <c r="K299" s="46"/>
      <c r="L299" s="46"/>
      <c r="N299" s="46">
        <f t="shared" si="140"/>
        <v>0</v>
      </c>
      <c r="P299" s="46"/>
      <c r="R299" s="88"/>
    </row>
    <row r="300" spans="2:18" s="21" customFormat="1" x14ac:dyDescent="0.25">
      <c r="B300" s="20"/>
      <c r="E300" s="46">
        <f>E207-E230-E237</f>
        <v>0</v>
      </c>
      <c r="F300" s="46">
        <f t="shared" ref="F300:L300" si="144">F207-F230-F237</f>
        <v>0</v>
      </c>
      <c r="G300" s="46">
        <f t="shared" si="144"/>
        <v>0</v>
      </c>
      <c r="H300" s="46">
        <f t="shared" si="144"/>
        <v>0</v>
      </c>
      <c r="I300" s="193">
        <f t="shared" si="144"/>
        <v>0</v>
      </c>
      <c r="J300" s="46">
        <f t="shared" si="144"/>
        <v>0</v>
      </c>
      <c r="K300" s="46">
        <f t="shared" si="144"/>
        <v>0</v>
      </c>
      <c r="L300" s="46">
        <f t="shared" si="144"/>
        <v>0</v>
      </c>
      <c r="N300" s="46">
        <f t="shared" si="140"/>
        <v>0</v>
      </c>
      <c r="P300" s="46">
        <f t="shared" ref="P300:P306" si="145">P207-P230-P237</f>
        <v>0</v>
      </c>
      <c r="R300" s="88"/>
    </row>
    <row r="301" spans="2:18" s="21" customFormat="1" x14ac:dyDescent="0.25">
      <c r="B301" s="20"/>
      <c r="E301" s="46">
        <f t="shared" ref="E301:L306" si="146">E208-E231-E238</f>
        <v>0</v>
      </c>
      <c r="F301" s="46">
        <f t="shared" si="146"/>
        <v>0</v>
      </c>
      <c r="G301" s="46">
        <f t="shared" si="146"/>
        <v>0</v>
      </c>
      <c r="H301" s="46">
        <f t="shared" si="146"/>
        <v>0</v>
      </c>
      <c r="I301" s="193">
        <f t="shared" si="146"/>
        <v>0</v>
      </c>
      <c r="J301" s="46">
        <f t="shared" si="146"/>
        <v>0</v>
      </c>
      <c r="K301" s="46">
        <f t="shared" si="146"/>
        <v>0</v>
      </c>
      <c r="L301" s="46">
        <f t="shared" si="146"/>
        <v>0</v>
      </c>
      <c r="N301" s="46">
        <f t="shared" si="140"/>
        <v>0</v>
      </c>
      <c r="P301" s="46">
        <f t="shared" si="145"/>
        <v>0</v>
      </c>
      <c r="R301" s="88"/>
    </row>
    <row r="302" spans="2:18" s="21" customFormat="1" x14ac:dyDescent="0.25">
      <c r="B302" s="20"/>
      <c r="E302" s="46">
        <f t="shared" si="146"/>
        <v>0</v>
      </c>
      <c r="F302" s="46">
        <f t="shared" si="146"/>
        <v>0</v>
      </c>
      <c r="G302" s="46">
        <f t="shared" si="146"/>
        <v>0</v>
      </c>
      <c r="H302" s="46">
        <f t="shared" si="146"/>
        <v>0</v>
      </c>
      <c r="I302" s="193">
        <f t="shared" si="146"/>
        <v>0</v>
      </c>
      <c r="J302" s="46">
        <f t="shared" si="146"/>
        <v>0</v>
      </c>
      <c r="K302" s="46">
        <f t="shared" si="146"/>
        <v>0</v>
      </c>
      <c r="L302" s="46">
        <f t="shared" si="146"/>
        <v>0</v>
      </c>
      <c r="N302" s="46">
        <f t="shared" si="140"/>
        <v>0</v>
      </c>
      <c r="P302" s="46">
        <f t="shared" si="145"/>
        <v>0</v>
      </c>
      <c r="R302" s="88"/>
    </row>
    <row r="303" spans="2:18" s="21" customFormat="1" x14ac:dyDescent="0.25">
      <c r="B303" s="20"/>
      <c r="E303" s="46">
        <f t="shared" si="146"/>
        <v>0</v>
      </c>
      <c r="F303" s="46">
        <f t="shared" si="146"/>
        <v>0</v>
      </c>
      <c r="G303" s="46">
        <f t="shared" si="146"/>
        <v>0</v>
      </c>
      <c r="H303" s="46">
        <f t="shared" si="146"/>
        <v>0</v>
      </c>
      <c r="I303" s="193">
        <f t="shared" si="146"/>
        <v>0</v>
      </c>
      <c r="J303" s="46">
        <f t="shared" si="146"/>
        <v>0</v>
      </c>
      <c r="K303" s="46">
        <f t="shared" si="146"/>
        <v>0</v>
      </c>
      <c r="L303" s="46">
        <f t="shared" si="146"/>
        <v>0</v>
      </c>
      <c r="N303" s="46">
        <f t="shared" si="140"/>
        <v>0</v>
      </c>
      <c r="P303" s="46">
        <f t="shared" si="145"/>
        <v>0</v>
      </c>
      <c r="R303" s="88"/>
    </row>
    <row r="304" spans="2:18" s="21" customFormat="1" x14ac:dyDescent="0.25">
      <c r="B304" s="20"/>
      <c r="E304" s="46">
        <f t="shared" si="146"/>
        <v>0</v>
      </c>
      <c r="F304" s="46">
        <f t="shared" si="146"/>
        <v>0</v>
      </c>
      <c r="G304" s="46">
        <f t="shared" si="146"/>
        <v>0</v>
      </c>
      <c r="H304" s="46">
        <f t="shared" si="146"/>
        <v>0</v>
      </c>
      <c r="I304" s="193">
        <f t="shared" si="146"/>
        <v>0</v>
      </c>
      <c r="J304" s="46">
        <f t="shared" si="146"/>
        <v>0</v>
      </c>
      <c r="K304" s="46">
        <f t="shared" si="146"/>
        <v>0</v>
      </c>
      <c r="L304" s="46">
        <f t="shared" si="146"/>
        <v>0</v>
      </c>
      <c r="N304" s="46">
        <f t="shared" si="140"/>
        <v>0</v>
      </c>
      <c r="P304" s="46">
        <f t="shared" si="145"/>
        <v>0</v>
      </c>
      <c r="R304" s="88"/>
    </row>
    <row r="305" spans="5:18" s="21" customFormat="1" x14ac:dyDescent="0.25">
      <c r="E305" s="46">
        <f t="shared" si="146"/>
        <v>0</v>
      </c>
      <c r="F305" s="46">
        <f t="shared" si="146"/>
        <v>0</v>
      </c>
      <c r="G305" s="46">
        <f t="shared" si="146"/>
        <v>0</v>
      </c>
      <c r="H305" s="46">
        <f t="shared" si="146"/>
        <v>0</v>
      </c>
      <c r="I305" s="193">
        <f t="shared" si="146"/>
        <v>0</v>
      </c>
      <c r="J305" s="46">
        <f t="shared" si="146"/>
        <v>0</v>
      </c>
      <c r="K305" s="46">
        <f t="shared" si="146"/>
        <v>0</v>
      </c>
      <c r="L305" s="46">
        <f t="shared" si="146"/>
        <v>0</v>
      </c>
      <c r="N305" s="46">
        <f t="shared" si="140"/>
        <v>0</v>
      </c>
      <c r="P305" s="46">
        <f t="shared" si="145"/>
        <v>0</v>
      </c>
      <c r="R305" s="88"/>
    </row>
    <row r="306" spans="5:18" s="21" customFormat="1" x14ac:dyDescent="0.25">
      <c r="E306" s="46">
        <f t="shared" si="146"/>
        <v>0</v>
      </c>
      <c r="F306" s="46">
        <f t="shared" si="146"/>
        <v>0</v>
      </c>
      <c r="G306" s="46">
        <f t="shared" si="146"/>
        <v>0</v>
      </c>
      <c r="H306" s="46">
        <f t="shared" si="146"/>
        <v>0</v>
      </c>
      <c r="I306" s="193">
        <f t="shared" si="146"/>
        <v>0</v>
      </c>
      <c r="J306" s="46">
        <f t="shared" si="146"/>
        <v>0</v>
      </c>
      <c r="K306" s="46">
        <f t="shared" si="146"/>
        <v>0</v>
      </c>
      <c r="L306" s="46">
        <f t="shared" si="146"/>
        <v>0</v>
      </c>
      <c r="N306" s="46">
        <f t="shared" si="140"/>
        <v>0</v>
      </c>
      <c r="P306" s="46">
        <f t="shared" si="145"/>
        <v>0</v>
      </c>
      <c r="R306" s="88"/>
    </row>
    <row r="307" spans="5:18" s="21" customFormat="1" x14ac:dyDescent="0.25">
      <c r="E307" s="46"/>
      <c r="F307" s="46"/>
      <c r="G307" s="46"/>
      <c r="H307" s="46"/>
      <c r="I307" s="193"/>
      <c r="J307" s="46"/>
      <c r="K307" s="46"/>
      <c r="L307" s="46"/>
      <c r="N307" s="46">
        <f t="shared" si="140"/>
        <v>0</v>
      </c>
      <c r="P307" s="46"/>
      <c r="R307" s="88"/>
    </row>
    <row r="308" spans="5:18" s="21" customFormat="1" x14ac:dyDescent="0.25">
      <c r="E308" s="46">
        <f>E207-E245-E252-E259-E266-E273</f>
        <v>-2.7830537874251604E-10</v>
      </c>
      <c r="F308" s="46">
        <f t="shared" ref="F308:L308" si="147">F207-F245-F252-F259-F266-F273</f>
        <v>5.3432813729159534E-11</v>
      </c>
      <c r="G308" s="46">
        <f t="shared" si="147"/>
        <v>-9.0722096501849592E-11</v>
      </c>
      <c r="H308" s="46">
        <f t="shared" si="147"/>
        <v>1.4802026271354407E-10</v>
      </c>
      <c r="I308" s="193">
        <f t="shared" si="147"/>
        <v>3.979039320256561E-11</v>
      </c>
      <c r="J308" s="46">
        <f t="shared" si="147"/>
        <v>9.9134922493249178E-11</v>
      </c>
      <c r="K308" s="46">
        <f t="shared" si="147"/>
        <v>-1.7280399333685637E-11</v>
      </c>
      <c r="L308" s="46">
        <f t="shared" si="147"/>
        <v>1.8917489796876907E-10</v>
      </c>
      <c r="N308" s="46">
        <f t="shared" si="140"/>
        <v>1.4438228390645236E-10</v>
      </c>
      <c r="P308" s="46">
        <f t="shared" ref="P308:P314" si="148">P207-P245-P252-P259-P266-P273</f>
        <v>-1.0459189070388675E-10</v>
      </c>
      <c r="R308" s="88"/>
    </row>
    <row r="309" spans="5:18" s="21" customFormat="1" x14ac:dyDescent="0.25">
      <c r="E309" s="46">
        <f t="shared" ref="E309:L314" si="149">E208-E246-E253-E260-E267-E274</f>
        <v>0</v>
      </c>
      <c r="F309" s="46">
        <f t="shared" si="149"/>
        <v>0</v>
      </c>
      <c r="G309" s="46">
        <f t="shared" si="149"/>
        <v>0</v>
      </c>
      <c r="H309" s="46">
        <f t="shared" si="149"/>
        <v>0</v>
      </c>
      <c r="I309" s="193">
        <f t="shared" si="149"/>
        <v>0</v>
      </c>
      <c r="J309" s="46">
        <f t="shared" si="149"/>
        <v>0</v>
      </c>
      <c r="K309" s="46">
        <f t="shared" si="149"/>
        <v>0</v>
      </c>
      <c r="L309" s="46">
        <f t="shared" si="149"/>
        <v>0</v>
      </c>
      <c r="N309" s="46">
        <f t="shared" si="140"/>
        <v>0</v>
      </c>
      <c r="P309" s="46">
        <f t="shared" si="148"/>
        <v>0</v>
      </c>
      <c r="R309" s="88"/>
    </row>
    <row r="310" spans="5:18" s="21" customFormat="1" x14ac:dyDescent="0.25">
      <c r="E310" s="46">
        <f t="shared" si="149"/>
        <v>0</v>
      </c>
      <c r="F310" s="46">
        <f t="shared" si="149"/>
        <v>0</v>
      </c>
      <c r="G310" s="46">
        <f t="shared" si="149"/>
        <v>0</v>
      </c>
      <c r="H310" s="46">
        <f t="shared" si="149"/>
        <v>0</v>
      </c>
      <c r="I310" s="193">
        <f t="shared" si="149"/>
        <v>0</v>
      </c>
      <c r="J310" s="46">
        <f t="shared" si="149"/>
        <v>0</v>
      </c>
      <c r="K310" s="46">
        <f t="shared" si="149"/>
        <v>0</v>
      </c>
      <c r="L310" s="46">
        <f t="shared" si="149"/>
        <v>0</v>
      </c>
      <c r="N310" s="46">
        <f t="shared" si="140"/>
        <v>0</v>
      </c>
      <c r="P310" s="46">
        <f t="shared" si="148"/>
        <v>0</v>
      </c>
      <c r="R310" s="88"/>
    </row>
    <row r="311" spans="5:18" s="21" customFormat="1" x14ac:dyDescent="0.25">
      <c r="E311" s="46">
        <f t="shared" si="149"/>
        <v>-2.7830537874251604E-10</v>
      </c>
      <c r="F311" s="46">
        <f t="shared" si="149"/>
        <v>-4.7748471843078732E-12</v>
      </c>
      <c r="G311" s="46">
        <f t="shared" si="149"/>
        <v>-9.0722096501849592E-11</v>
      </c>
      <c r="H311" s="46">
        <f t="shared" si="149"/>
        <v>3.1604940886609256E-11</v>
      </c>
      <c r="I311" s="193">
        <f t="shared" si="149"/>
        <v>9.7998054116033018E-11</v>
      </c>
      <c r="J311" s="46">
        <f t="shared" si="149"/>
        <v>1.1823431123048067E-11</v>
      </c>
      <c r="K311" s="46">
        <f t="shared" si="149"/>
        <v>-2.7284841053187847E-12</v>
      </c>
      <c r="L311" s="46">
        <f t="shared" si="149"/>
        <v>-4.3655745685100555E-11</v>
      </c>
      <c r="N311" s="46">
        <f t="shared" si="140"/>
        <v>8.6174622992984951E-11</v>
      </c>
      <c r="P311" s="46">
        <f t="shared" si="148"/>
        <v>1.1823431123048067E-11</v>
      </c>
      <c r="R311" s="88"/>
    </row>
    <row r="312" spans="5:18" s="21" customFormat="1" x14ac:dyDescent="0.25">
      <c r="E312" s="46">
        <f t="shared" si="149"/>
        <v>0</v>
      </c>
      <c r="F312" s="46">
        <f t="shared" si="149"/>
        <v>0</v>
      </c>
      <c r="G312" s="46">
        <f t="shared" si="149"/>
        <v>0</v>
      </c>
      <c r="H312" s="46">
        <f t="shared" si="149"/>
        <v>0</v>
      </c>
      <c r="I312" s="193">
        <f t="shared" si="149"/>
        <v>0</v>
      </c>
      <c r="J312" s="46">
        <f t="shared" si="149"/>
        <v>0</v>
      </c>
      <c r="K312" s="46">
        <f t="shared" si="149"/>
        <v>0</v>
      </c>
      <c r="L312" s="46">
        <f t="shared" si="149"/>
        <v>0</v>
      </c>
      <c r="N312" s="46">
        <f t="shared" si="140"/>
        <v>0</v>
      </c>
      <c r="P312" s="46">
        <f t="shared" si="148"/>
        <v>0</v>
      </c>
      <c r="R312" s="88"/>
    </row>
    <row r="313" spans="5:18" s="21" customFormat="1" x14ac:dyDescent="0.25">
      <c r="E313" s="46">
        <f t="shared" si="149"/>
        <v>0</v>
      </c>
      <c r="F313" s="46">
        <f t="shared" si="149"/>
        <v>0</v>
      </c>
      <c r="G313" s="46">
        <f t="shared" si="149"/>
        <v>0</v>
      </c>
      <c r="H313" s="46">
        <f t="shared" si="149"/>
        <v>0</v>
      </c>
      <c r="I313" s="193">
        <f t="shared" si="149"/>
        <v>0</v>
      </c>
      <c r="J313" s="46">
        <f t="shared" si="149"/>
        <v>0</v>
      </c>
      <c r="K313" s="46">
        <f t="shared" si="149"/>
        <v>0</v>
      </c>
      <c r="L313" s="46">
        <f t="shared" si="149"/>
        <v>0</v>
      </c>
      <c r="N313" s="46">
        <f t="shared" si="140"/>
        <v>0</v>
      </c>
      <c r="P313" s="46">
        <f t="shared" si="148"/>
        <v>0</v>
      </c>
      <c r="R313" s="88"/>
    </row>
    <row r="314" spans="5:18" s="21" customFormat="1" x14ac:dyDescent="0.25">
      <c r="E314" s="46">
        <f t="shared" si="149"/>
        <v>-5.8207660913467407E-11</v>
      </c>
      <c r="F314" s="46">
        <f t="shared" si="149"/>
        <v>0</v>
      </c>
      <c r="G314" s="46">
        <f t="shared" si="149"/>
        <v>0</v>
      </c>
      <c r="H314" s="46">
        <f t="shared" si="149"/>
        <v>0</v>
      </c>
      <c r="I314" s="193">
        <f t="shared" si="149"/>
        <v>0</v>
      </c>
      <c r="J314" s="46">
        <f t="shared" si="149"/>
        <v>0</v>
      </c>
      <c r="K314" s="46">
        <f t="shared" si="149"/>
        <v>1.4551915228366852E-11</v>
      </c>
      <c r="L314" s="46">
        <f t="shared" si="149"/>
        <v>-2.9103830456733704E-11</v>
      </c>
      <c r="N314" s="46">
        <f t="shared" si="140"/>
        <v>0</v>
      </c>
      <c r="P314" s="46">
        <f t="shared" si="148"/>
        <v>0</v>
      </c>
      <c r="R314" s="88"/>
    </row>
    <row r="315" spans="5:18" s="21" customFormat="1" x14ac:dyDescent="0.25">
      <c r="E315" s="46"/>
      <c r="F315" s="46"/>
      <c r="G315" s="46"/>
      <c r="H315" s="46"/>
      <c r="I315" s="193"/>
      <c r="J315" s="46"/>
      <c r="K315" s="46"/>
      <c r="L315" s="46"/>
      <c r="N315" s="46">
        <f t="shared" si="140"/>
        <v>0</v>
      </c>
      <c r="P315" s="46"/>
      <c r="R315" s="88"/>
    </row>
    <row r="316" spans="5:18" s="21" customFormat="1" x14ac:dyDescent="0.25">
      <c r="E316" s="46"/>
      <c r="F316" s="46"/>
      <c r="G316" s="46"/>
      <c r="H316" s="46"/>
      <c r="I316" s="193"/>
      <c r="J316" s="46"/>
      <c r="K316" s="46"/>
      <c r="L316" s="46"/>
      <c r="N316" s="46">
        <f t="shared" si="140"/>
        <v>0</v>
      </c>
      <c r="P316" s="46"/>
      <c r="R316" s="88"/>
    </row>
    <row r="317" spans="5:18" s="21" customFormat="1" x14ac:dyDescent="0.25">
      <c r="E317" s="46">
        <f t="shared" ref="E317:L323" si="150">E207-E200-E164-E72</f>
        <v>0</v>
      </c>
      <c r="F317" s="46">
        <f t="shared" si="150"/>
        <v>0</v>
      </c>
      <c r="G317" s="46">
        <f t="shared" si="150"/>
        <v>0</v>
      </c>
      <c r="H317" s="46">
        <f t="shared" si="150"/>
        <v>0</v>
      </c>
      <c r="I317" s="193">
        <f t="shared" si="150"/>
        <v>0</v>
      </c>
      <c r="J317" s="46">
        <f t="shared" si="150"/>
        <v>0</v>
      </c>
      <c r="K317" s="46">
        <f t="shared" si="150"/>
        <v>0</v>
      </c>
      <c r="L317" s="46">
        <f t="shared" si="150"/>
        <v>4.6566128730773926E-10</v>
      </c>
      <c r="N317" s="46">
        <f t="shared" si="140"/>
        <v>0</v>
      </c>
      <c r="P317" s="46">
        <f t="shared" ref="P317:P323" si="151">P207-P200-P164-P72</f>
        <v>0</v>
      </c>
      <c r="R317" s="88"/>
    </row>
    <row r="318" spans="5:18" s="21" customFormat="1" x14ac:dyDescent="0.25">
      <c r="E318" s="46">
        <f t="shared" si="150"/>
        <v>0</v>
      </c>
      <c r="F318" s="46">
        <f t="shared" si="150"/>
        <v>0</v>
      </c>
      <c r="G318" s="46">
        <f t="shared" si="150"/>
        <v>0</v>
      </c>
      <c r="H318" s="46">
        <f t="shared" si="150"/>
        <v>0</v>
      </c>
      <c r="I318" s="193">
        <f t="shared" si="150"/>
        <v>0</v>
      </c>
      <c r="J318" s="46">
        <f t="shared" si="150"/>
        <v>0</v>
      </c>
      <c r="K318" s="46">
        <f t="shared" si="150"/>
        <v>0</v>
      </c>
      <c r="L318" s="46">
        <f t="shared" si="150"/>
        <v>0</v>
      </c>
      <c r="N318" s="46">
        <f t="shared" si="140"/>
        <v>0</v>
      </c>
      <c r="P318" s="46">
        <f t="shared" si="151"/>
        <v>0</v>
      </c>
      <c r="R318" s="88"/>
    </row>
    <row r="319" spans="5:18" s="21" customFormat="1" x14ac:dyDescent="0.25">
      <c r="E319" s="46">
        <f t="shared" si="150"/>
        <v>0</v>
      </c>
      <c r="F319" s="46">
        <f t="shared" si="150"/>
        <v>0</v>
      </c>
      <c r="G319" s="46">
        <f t="shared" si="150"/>
        <v>0</v>
      </c>
      <c r="H319" s="46">
        <f t="shared" si="150"/>
        <v>0</v>
      </c>
      <c r="I319" s="193">
        <f t="shared" si="150"/>
        <v>0</v>
      </c>
      <c r="J319" s="46">
        <f t="shared" si="150"/>
        <v>0</v>
      </c>
      <c r="K319" s="46">
        <f t="shared" si="150"/>
        <v>0</v>
      </c>
      <c r="L319" s="46">
        <f t="shared" si="150"/>
        <v>0</v>
      </c>
      <c r="N319" s="46">
        <f t="shared" si="140"/>
        <v>0</v>
      </c>
      <c r="P319" s="46">
        <f t="shared" si="151"/>
        <v>0</v>
      </c>
      <c r="R319" s="88"/>
    </row>
    <row r="320" spans="5:18" s="21" customFormat="1" x14ac:dyDescent="0.25">
      <c r="E320" s="46">
        <f t="shared" si="150"/>
        <v>0</v>
      </c>
      <c r="F320" s="46">
        <f t="shared" si="150"/>
        <v>0</v>
      </c>
      <c r="G320" s="46">
        <f t="shared" si="150"/>
        <v>0</v>
      </c>
      <c r="H320" s="46">
        <f t="shared" si="150"/>
        <v>0</v>
      </c>
      <c r="I320" s="193">
        <f t="shared" si="150"/>
        <v>0</v>
      </c>
      <c r="J320" s="46">
        <f t="shared" si="150"/>
        <v>-5.9117155615240335E-12</v>
      </c>
      <c r="K320" s="46">
        <f t="shared" si="150"/>
        <v>0</v>
      </c>
      <c r="L320" s="46">
        <f t="shared" si="150"/>
        <v>0</v>
      </c>
      <c r="N320" s="46">
        <f t="shared" si="140"/>
        <v>0</v>
      </c>
      <c r="P320" s="46">
        <f t="shared" si="151"/>
        <v>0</v>
      </c>
      <c r="R320" s="88"/>
    </row>
    <row r="321" spans="3:18" s="21" customFormat="1" x14ac:dyDescent="0.25">
      <c r="E321" s="46">
        <f t="shared" si="150"/>
        <v>0</v>
      </c>
      <c r="F321" s="46">
        <f t="shared" si="150"/>
        <v>0</v>
      </c>
      <c r="G321" s="46">
        <f t="shared" si="150"/>
        <v>0</v>
      </c>
      <c r="H321" s="46">
        <f t="shared" si="150"/>
        <v>0</v>
      </c>
      <c r="I321" s="193">
        <f t="shared" si="150"/>
        <v>0</v>
      </c>
      <c r="J321" s="46">
        <f t="shared" si="150"/>
        <v>0</v>
      </c>
      <c r="K321" s="46">
        <f t="shared" si="150"/>
        <v>0</v>
      </c>
      <c r="L321" s="46">
        <f t="shared" si="150"/>
        <v>0</v>
      </c>
      <c r="N321" s="46">
        <f t="shared" si="140"/>
        <v>0</v>
      </c>
      <c r="P321" s="46">
        <f t="shared" si="151"/>
        <v>0</v>
      </c>
      <c r="R321" s="88"/>
    </row>
    <row r="322" spans="3:18" s="21" customFormat="1" x14ac:dyDescent="0.25">
      <c r="E322" s="46">
        <f t="shared" si="150"/>
        <v>0</v>
      </c>
      <c r="F322" s="46">
        <f t="shared" si="150"/>
        <v>0</v>
      </c>
      <c r="G322" s="46">
        <f t="shared" si="150"/>
        <v>0</v>
      </c>
      <c r="H322" s="46">
        <f t="shared" si="150"/>
        <v>0</v>
      </c>
      <c r="I322" s="193">
        <f t="shared" si="150"/>
        <v>0</v>
      </c>
      <c r="J322" s="46">
        <f t="shared" si="150"/>
        <v>0</v>
      </c>
      <c r="K322" s="46">
        <f t="shared" si="150"/>
        <v>0</v>
      </c>
      <c r="L322" s="46">
        <f t="shared" si="150"/>
        <v>0</v>
      </c>
      <c r="N322" s="46">
        <f t="shared" si="140"/>
        <v>0</v>
      </c>
      <c r="P322" s="46">
        <f t="shared" si="151"/>
        <v>0</v>
      </c>
      <c r="R322" s="88"/>
    </row>
    <row r="323" spans="3:18" s="21" customFormat="1" x14ac:dyDescent="0.25">
      <c r="E323" s="46">
        <f t="shared" si="150"/>
        <v>0</v>
      </c>
      <c r="F323" s="46">
        <f t="shared" si="150"/>
        <v>0</v>
      </c>
      <c r="G323" s="46">
        <f t="shared" si="150"/>
        <v>0</v>
      </c>
      <c r="H323" s="46">
        <f t="shared" si="150"/>
        <v>0</v>
      </c>
      <c r="I323" s="193">
        <f t="shared" si="150"/>
        <v>0</v>
      </c>
      <c r="J323" s="46">
        <f t="shared" si="150"/>
        <v>0</v>
      </c>
      <c r="K323" s="46">
        <f t="shared" si="150"/>
        <v>0</v>
      </c>
      <c r="L323" s="46">
        <f t="shared" si="150"/>
        <v>0</v>
      </c>
      <c r="N323" s="46">
        <f t="shared" si="140"/>
        <v>0</v>
      </c>
      <c r="P323" s="46">
        <f t="shared" si="151"/>
        <v>0</v>
      </c>
      <c r="R323" s="88"/>
    </row>
    <row r="324" spans="3:18" s="21" customFormat="1" x14ac:dyDescent="0.25">
      <c r="E324" s="46"/>
      <c r="F324" s="46"/>
      <c r="G324" s="46"/>
      <c r="H324" s="46"/>
      <c r="I324" s="193"/>
      <c r="J324" s="46"/>
      <c r="K324" s="46"/>
      <c r="L324" s="46"/>
      <c r="N324" s="46">
        <f t="shared" si="140"/>
        <v>0</v>
      </c>
      <c r="P324" s="46"/>
      <c r="R324" s="88"/>
    </row>
    <row r="325" spans="3:18" s="21" customFormat="1" x14ac:dyDescent="0.25">
      <c r="C325" s="21" t="s">
        <v>159</v>
      </c>
      <c r="D325" s="21" t="s">
        <v>155</v>
      </c>
      <c r="E325" s="46"/>
      <c r="F325" s="46"/>
      <c r="G325" s="46"/>
      <c r="H325" s="46"/>
      <c r="I325" s="193"/>
      <c r="J325" s="46"/>
      <c r="K325" s="46"/>
      <c r="L325" s="46"/>
      <c r="N325" s="46">
        <f t="shared" si="140"/>
        <v>0</v>
      </c>
      <c r="P325" s="46"/>
      <c r="R325" s="88"/>
    </row>
    <row r="326" spans="3:18" s="21" customFormat="1" x14ac:dyDescent="0.25">
      <c r="D326" s="21" t="s">
        <v>157</v>
      </c>
      <c r="E326" s="47">
        <f>SUM(F326:L326)</f>
        <v>8381.4000000000015</v>
      </c>
      <c r="F326" s="46">
        <v>13.6</v>
      </c>
      <c r="G326" s="46"/>
      <c r="H326" s="46"/>
      <c r="I326" s="193">
        <v>5082.6000000000004</v>
      </c>
      <c r="J326" s="46">
        <v>3202.6</v>
      </c>
      <c r="K326" s="46">
        <v>82.6</v>
      </c>
      <c r="L326" s="46">
        <v>0</v>
      </c>
      <c r="N326" s="46">
        <f t="shared" si="140"/>
        <v>0</v>
      </c>
      <c r="P326" s="46">
        <v>5082.6000000000004</v>
      </c>
      <c r="R326" s="88"/>
    </row>
    <row r="327" spans="3:18" s="21" customFormat="1" x14ac:dyDescent="0.25">
      <c r="D327" s="21" t="s">
        <v>156</v>
      </c>
      <c r="E327" s="47">
        <f t="shared" ref="E327:E328" si="152">SUM(F327:L327)</f>
        <v>22128.733270000001</v>
      </c>
      <c r="F327" s="46">
        <v>6558.7772699999996</v>
      </c>
      <c r="G327" s="46">
        <v>4891.5</v>
      </c>
      <c r="H327" s="46">
        <v>753.9</v>
      </c>
      <c r="I327" s="193">
        <f>2503.256+I275</f>
        <v>3003.2559999999999</v>
      </c>
      <c r="J327" s="46">
        <v>5535.1</v>
      </c>
      <c r="K327" s="46">
        <v>1386.2</v>
      </c>
      <c r="L327" s="46">
        <v>0</v>
      </c>
      <c r="N327" s="46">
        <f t="shared" si="140"/>
        <v>2099.6559999999999</v>
      </c>
      <c r="P327" s="46">
        <v>903.6</v>
      </c>
      <c r="R327" s="88"/>
    </row>
    <row r="328" spans="3:18" s="21" customFormat="1" x14ac:dyDescent="0.25">
      <c r="D328" s="21" t="s">
        <v>158</v>
      </c>
      <c r="E328" s="47">
        <f t="shared" si="152"/>
        <v>4969186.9977599997</v>
      </c>
      <c r="F328" s="46">
        <v>671049.72846999997</v>
      </c>
      <c r="G328" s="46">
        <v>691967.74146000005</v>
      </c>
      <c r="H328" s="46">
        <v>681855.33291999996</v>
      </c>
      <c r="I328" s="193">
        <f>423460.6225+I276+I269+I262</f>
        <v>691617.26303000003</v>
      </c>
      <c r="J328" s="46">
        <f>291874.06836+J276+J269+J262</f>
        <v>294616.26835999999</v>
      </c>
      <c r="K328" s="46">
        <v>276911.52335999999</v>
      </c>
      <c r="L328" s="46">
        <v>1661169.14016</v>
      </c>
      <c r="N328" s="46">
        <f t="shared" si="140"/>
        <v>267428.59956</v>
      </c>
      <c r="P328" s="46">
        <f>400643.33581+P262+P269</f>
        <v>424188.66347000003</v>
      </c>
      <c r="R328" s="88"/>
    </row>
    <row r="329" spans="3:18" s="21" customFormat="1" x14ac:dyDescent="0.25">
      <c r="E329" s="47"/>
      <c r="F329" s="46"/>
      <c r="G329" s="46"/>
      <c r="H329" s="46"/>
      <c r="I329" s="193"/>
      <c r="J329" s="46"/>
      <c r="K329" s="46"/>
      <c r="L329" s="46"/>
      <c r="N329" s="46">
        <f t="shared" si="140"/>
        <v>0</v>
      </c>
      <c r="P329" s="46"/>
      <c r="R329" s="88"/>
    </row>
    <row r="330" spans="3:18" s="21" customFormat="1" x14ac:dyDescent="0.25">
      <c r="E330" s="47"/>
      <c r="F330" s="46"/>
      <c r="G330" s="46"/>
      <c r="H330" s="46"/>
      <c r="I330" s="193"/>
      <c r="J330" s="46"/>
      <c r="K330" s="46"/>
      <c r="L330" s="46"/>
      <c r="N330" s="46">
        <f t="shared" si="140"/>
        <v>0</v>
      </c>
      <c r="P330" s="46"/>
      <c r="R330" s="88"/>
    </row>
    <row r="331" spans="3:18" s="21" customFormat="1" x14ac:dyDescent="0.25">
      <c r="C331" s="21" t="s">
        <v>160</v>
      </c>
      <c r="D331" s="21" t="s">
        <v>155</v>
      </c>
      <c r="E331" s="48"/>
      <c r="F331" s="48"/>
      <c r="G331" s="48"/>
      <c r="H331" s="48"/>
      <c r="I331" s="194"/>
      <c r="J331" s="48"/>
      <c r="K331" s="48"/>
      <c r="L331" s="48"/>
      <c r="N331" s="46">
        <f t="shared" si="140"/>
        <v>0</v>
      </c>
      <c r="P331" s="48"/>
      <c r="R331" s="88"/>
    </row>
    <row r="332" spans="3:18" s="21" customFormat="1" x14ac:dyDescent="0.25">
      <c r="D332" s="21" t="s">
        <v>157</v>
      </c>
      <c r="E332" s="48">
        <f t="shared" ref="E332:L334" si="153">E208-E326</f>
        <v>50.899999999999636</v>
      </c>
      <c r="F332" s="48">
        <f t="shared" si="153"/>
        <v>0</v>
      </c>
      <c r="G332" s="48">
        <f t="shared" si="153"/>
        <v>0</v>
      </c>
      <c r="H332" s="48">
        <f t="shared" si="153"/>
        <v>50.9</v>
      </c>
      <c r="I332" s="194">
        <f t="shared" si="153"/>
        <v>0</v>
      </c>
      <c r="J332" s="48">
        <f t="shared" si="153"/>
        <v>0</v>
      </c>
      <c r="K332" s="48">
        <f t="shared" si="153"/>
        <v>0</v>
      </c>
      <c r="L332" s="48">
        <f t="shared" si="153"/>
        <v>0</v>
      </c>
      <c r="N332" s="46">
        <f t="shared" si="140"/>
        <v>0</v>
      </c>
      <c r="P332" s="48">
        <f t="shared" ref="P332:P334" si="154">P208-P326</f>
        <v>0</v>
      </c>
      <c r="R332" s="88"/>
    </row>
    <row r="333" spans="3:18" s="21" customFormat="1" x14ac:dyDescent="0.25">
      <c r="D333" s="21" t="s">
        <v>156</v>
      </c>
      <c r="E333" s="48">
        <f t="shared" si="153"/>
        <v>118.76728999999978</v>
      </c>
      <c r="F333" s="48">
        <f t="shared" si="153"/>
        <v>0</v>
      </c>
      <c r="G333" s="48">
        <f t="shared" si="153"/>
        <v>0</v>
      </c>
      <c r="H333" s="48">
        <f t="shared" si="153"/>
        <v>118.76729</v>
      </c>
      <c r="I333" s="194">
        <f t="shared" si="153"/>
        <v>0</v>
      </c>
      <c r="J333" s="48">
        <f t="shared" si="153"/>
        <v>0</v>
      </c>
      <c r="K333" s="48">
        <f t="shared" si="153"/>
        <v>0</v>
      </c>
      <c r="L333" s="48">
        <f t="shared" si="153"/>
        <v>0</v>
      </c>
      <c r="N333" s="46">
        <f t="shared" si="140"/>
        <v>0</v>
      </c>
      <c r="P333" s="48">
        <f t="shared" si="154"/>
        <v>0</v>
      </c>
      <c r="R333" s="88"/>
    </row>
    <row r="334" spans="3:18" s="21" customFormat="1" x14ac:dyDescent="0.25">
      <c r="D334" s="21" t="s">
        <v>158</v>
      </c>
      <c r="E334" s="48">
        <f t="shared" si="153"/>
        <v>-666.39879000000656</v>
      </c>
      <c r="F334" s="48">
        <f t="shared" si="153"/>
        <v>0</v>
      </c>
      <c r="G334" s="48">
        <f t="shared" si="153"/>
        <v>0</v>
      </c>
      <c r="H334" s="48">
        <f t="shared" si="153"/>
        <v>-666.39879000000656</v>
      </c>
      <c r="I334" s="194">
        <f t="shared" si="153"/>
        <v>0</v>
      </c>
      <c r="J334" s="48">
        <f t="shared" si="153"/>
        <v>0</v>
      </c>
      <c r="K334" s="48">
        <f t="shared" si="153"/>
        <v>0</v>
      </c>
      <c r="L334" s="48">
        <f t="shared" si="153"/>
        <v>0</v>
      </c>
      <c r="N334" s="46">
        <f t="shared" si="140"/>
        <v>0</v>
      </c>
      <c r="P334" s="48">
        <f t="shared" si="154"/>
        <v>0</v>
      </c>
      <c r="R334" s="88"/>
    </row>
    <row r="335" spans="3:18" s="21" customFormat="1" x14ac:dyDescent="0.25">
      <c r="E335" s="49"/>
      <c r="F335" s="49"/>
      <c r="G335" s="49"/>
      <c r="H335" s="49"/>
      <c r="I335" s="195"/>
      <c r="J335" s="49"/>
      <c r="K335" s="49"/>
      <c r="L335" s="49"/>
      <c r="P335" s="49"/>
      <c r="R335" s="88"/>
    </row>
    <row r="336" spans="3:18" s="21" customFormat="1" x14ac:dyDescent="0.25">
      <c r="E336" s="50"/>
      <c r="F336" s="50"/>
      <c r="G336" s="50"/>
      <c r="H336" s="50"/>
      <c r="I336" s="196"/>
      <c r="J336" s="50"/>
      <c r="K336" s="50"/>
      <c r="L336" s="50"/>
      <c r="P336" s="50"/>
      <c r="R336" s="88"/>
    </row>
    <row r="337" spans="1:16" s="21" customFormat="1" x14ac:dyDescent="0.25">
      <c r="A337" s="19"/>
      <c r="B337" s="20"/>
      <c r="E337" s="50"/>
      <c r="F337" s="50"/>
      <c r="G337" s="50"/>
      <c r="H337" s="50"/>
      <c r="I337" s="196"/>
      <c r="J337" s="50"/>
      <c r="K337" s="50"/>
      <c r="L337" s="50"/>
      <c r="P337" s="50"/>
    </row>
    <row r="343" spans="1:16" s="21" customFormat="1" ht="31.5" x14ac:dyDescent="0.25">
      <c r="A343" s="53" t="s">
        <v>74</v>
      </c>
      <c r="B343" s="54" t="s">
        <v>162</v>
      </c>
      <c r="I343" s="95"/>
    </row>
    <row r="344" spans="1:16" s="21" customFormat="1" ht="31.5" x14ac:dyDescent="0.25">
      <c r="A344" s="53" t="s">
        <v>163</v>
      </c>
      <c r="B344" s="58">
        <f>I208</f>
        <v>5082.6000000000004</v>
      </c>
      <c r="I344" s="95"/>
    </row>
    <row r="345" spans="1:16" s="21" customFormat="1" ht="63" x14ac:dyDescent="0.25">
      <c r="A345" s="55" t="s">
        <v>164</v>
      </c>
      <c r="B345" s="58">
        <f t="shared" ref="B345:B346" si="155">I209</f>
        <v>3003.2559999999999</v>
      </c>
      <c r="I345" s="95"/>
    </row>
    <row r="346" spans="1:16" s="21" customFormat="1" ht="78.75" x14ac:dyDescent="0.25">
      <c r="A346" s="55" t="s">
        <v>165</v>
      </c>
      <c r="B346" s="58">
        <f t="shared" si="155"/>
        <v>691617.26302999991</v>
      </c>
      <c r="I346" s="95"/>
    </row>
    <row r="347" spans="1:16" s="21" customFormat="1" ht="15.75" x14ac:dyDescent="0.25">
      <c r="A347" s="55" t="s">
        <v>166</v>
      </c>
      <c r="B347" s="58">
        <f>I213</f>
        <v>250939.85058999999</v>
      </c>
      <c r="I347" s="95"/>
    </row>
    <row r="353" spans="9:18" s="21" customFormat="1" x14ac:dyDescent="0.25">
      <c r="I353" s="95"/>
      <c r="R353" s="88"/>
    </row>
    <row r="354" spans="9:18" s="21" customFormat="1" x14ac:dyDescent="0.25">
      <c r="I354" s="95"/>
      <c r="R354" s="88"/>
    </row>
    <row r="355" spans="9:18" s="21" customFormat="1" x14ac:dyDescent="0.25">
      <c r="I355" s="95"/>
      <c r="R355" s="88"/>
    </row>
    <row r="356" spans="9:18" s="21" customFormat="1" x14ac:dyDescent="0.25">
      <c r="I356" s="95"/>
      <c r="R356" s="88"/>
    </row>
    <row r="357" spans="9:18" s="21" customFormat="1" x14ac:dyDescent="0.25">
      <c r="I357" s="95"/>
      <c r="R357" s="88"/>
    </row>
    <row r="358" spans="9:18" s="21" customFormat="1" x14ac:dyDescent="0.25">
      <c r="I358" s="95"/>
      <c r="R358" s="88"/>
    </row>
    <row r="359" spans="9:18" s="21" customFormat="1" x14ac:dyDescent="0.25">
      <c r="I359" s="95"/>
      <c r="R359" s="88"/>
    </row>
    <row r="360" spans="9:18" s="21" customFormat="1" x14ac:dyDescent="0.25">
      <c r="I360" s="95"/>
      <c r="R360" s="88"/>
    </row>
    <row r="361" spans="9:18" s="21" customFormat="1" x14ac:dyDescent="0.25">
      <c r="I361" s="95"/>
      <c r="R361" s="88"/>
    </row>
    <row r="362" spans="9:18" s="21" customFormat="1" x14ac:dyDescent="0.25">
      <c r="I362" s="95"/>
      <c r="R362" s="88"/>
    </row>
    <row r="363" spans="9:18" s="21" customFormat="1" x14ac:dyDescent="0.25">
      <c r="I363" s="95"/>
      <c r="R363" s="88"/>
    </row>
    <row r="364" spans="9:18" s="21" customFormat="1" x14ac:dyDescent="0.25">
      <c r="I364" s="95"/>
      <c r="R364" s="88"/>
    </row>
    <row r="365" spans="9:18" s="21" customFormat="1" x14ac:dyDescent="0.25">
      <c r="I365" s="95"/>
      <c r="R365" s="88"/>
    </row>
    <row r="366" spans="9:18" s="21" customFormat="1" x14ac:dyDescent="0.25">
      <c r="I366" s="95"/>
      <c r="R366" s="88"/>
    </row>
    <row r="367" spans="9:18" s="21" customFormat="1" x14ac:dyDescent="0.25">
      <c r="I367" s="95"/>
      <c r="R367" s="88"/>
    </row>
    <row r="368" spans="9:18" s="21" customFormat="1" x14ac:dyDescent="0.25">
      <c r="I368" s="95"/>
      <c r="R368" s="88"/>
    </row>
    <row r="369" spans="9:18" s="21" customFormat="1" x14ac:dyDescent="0.25">
      <c r="I369" s="95"/>
      <c r="R369" s="88"/>
    </row>
    <row r="370" spans="9:18" s="21" customFormat="1" x14ac:dyDescent="0.25">
      <c r="I370" s="95"/>
      <c r="R370" s="88"/>
    </row>
    <row r="371" spans="9:18" s="21" customFormat="1" x14ac:dyDescent="0.25">
      <c r="I371" s="95"/>
      <c r="R371" s="88"/>
    </row>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L242"/>
  <sheetViews>
    <sheetView view="pageBreakPreview" topLeftCell="A213" zoomScale="85" zoomScaleNormal="85" zoomScaleSheetLayoutView="85" workbookViewId="0">
      <selection activeCell="C9" sqref="C9:C15"/>
    </sheetView>
  </sheetViews>
  <sheetFormatPr defaultColWidth="9.140625" defaultRowHeight="15" x14ac:dyDescent="0.25"/>
  <cols>
    <col min="1" max="1" width="11.5703125" style="197" customWidth="1"/>
    <col min="2" max="2" width="34.28515625" style="198" customWidth="1"/>
    <col min="3" max="3" width="28.140625" style="199" customWidth="1"/>
    <col min="4" max="4" width="37" style="199" customWidth="1"/>
    <col min="5" max="5" width="20" style="199" customWidth="1"/>
    <col min="6" max="6" width="21.140625" style="200" customWidth="1"/>
    <col min="7" max="7" width="22.7109375" style="200" customWidth="1"/>
    <col min="8" max="8" width="23.28515625" style="200" customWidth="1"/>
    <col min="9" max="9" width="22.5703125" style="200" customWidth="1"/>
    <col min="10" max="10" width="20.7109375" style="199" customWidth="1"/>
    <col min="11" max="11" width="23.140625" style="199" customWidth="1"/>
    <col min="12" max="12" width="16.42578125" style="199" customWidth="1"/>
    <col min="13" max="16384" width="9.140625" style="199"/>
  </cols>
  <sheetData>
    <row r="1" spans="1:10" ht="15.75" x14ac:dyDescent="0.25">
      <c r="J1" s="201" t="s">
        <v>84</v>
      </c>
    </row>
    <row r="2" spans="1:10" x14ac:dyDescent="0.25">
      <c r="A2" s="412" t="s">
        <v>85</v>
      </c>
      <c r="B2" s="412"/>
      <c r="C2" s="412"/>
      <c r="D2" s="412"/>
      <c r="E2" s="412"/>
      <c r="F2" s="412"/>
      <c r="G2" s="412"/>
      <c r="H2" s="412"/>
      <c r="I2" s="412"/>
      <c r="J2" s="412"/>
    </row>
    <row r="3" spans="1:10" ht="15.75" x14ac:dyDescent="0.25">
      <c r="A3" s="202"/>
    </row>
    <row r="4" spans="1:10" x14ac:dyDescent="0.25">
      <c r="A4" s="413" t="s">
        <v>80</v>
      </c>
      <c r="B4" s="414" t="s">
        <v>318</v>
      </c>
      <c r="C4" s="414" t="s">
        <v>319</v>
      </c>
      <c r="D4" s="414" t="s">
        <v>9</v>
      </c>
      <c r="E4" s="414" t="s">
        <v>320</v>
      </c>
      <c r="F4" s="414"/>
      <c r="G4" s="414"/>
      <c r="H4" s="414"/>
      <c r="I4" s="414"/>
      <c r="J4" s="414"/>
    </row>
    <row r="5" spans="1:10" x14ac:dyDescent="0.25">
      <c r="A5" s="413"/>
      <c r="B5" s="414"/>
      <c r="C5" s="414"/>
      <c r="D5" s="414"/>
      <c r="E5" s="414" t="s">
        <v>77</v>
      </c>
      <c r="F5" s="414"/>
      <c r="G5" s="414"/>
      <c r="H5" s="414"/>
      <c r="I5" s="414"/>
      <c r="J5" s="414"/>
    </row>
    <row r="6" spans="1:10" ht="33" customHeight="1" x14ac:dyDescent="0.25">
      <c r="A6" s="413"/>
      <c r="B6" s="414"/>
      <c r="C6" s="414"/>
      <c r="D6" s="414"/>
      <c r="E6" s="226" t="s">
        <v>12</v>
      </c>
      <c r="F6" s="260" t="s">
        <v>115</v>
      </c>
      <c r="G6" s="271" t="s">
        <v>116</v>
      </c>
      <c r="H6" s="271" t="s">
        <v>280</v>
      </c>
      <c r="I6" s="271" t="s">
        <v>281</v>
      </c>
      <c r="J6" s="226" t="s">
        <v>282</v>
      </c>
    </row>
    <row r="7" spans="1:10" s="205" customFormat="1" ht="12" x14ac:dyDescent="0.2">
      <c r="A7" s="203">
        <v>1</v>
      </c>
      <c r="B7" s="203">
        <v>2</v>
      </c>
      <c r="C7" s="203">
        <v>3</v>
      </c>
      <c r="D7" s="203">
        <v>4</v>
      </c>
      <c r="E7" s="203">
        <v>5</v>
      </c>
      <c r="F7" s="204">
        <v>8</v>
      </c>
      <c r="G7" s="204">
        <v>9</v>
      </c>
      <c r="H7" s="204">
        <v>10</v>
      </c>
      <c r="I7" s="204">
        <v>11</v>
      </c>
      <c r="J7" s="203">
        <v>12</v>
      </c>
    </row>
    <row r="8" spans="1:10" x14ac:dyDescent="0.25">
      <c r="A8" s="415" t="s">
        <v>226</v>
      </c>
      <c r="B8" s="415"/>
      <c r="C8" s="415"/>
      <c r="D8" s="415"/>
      <c r="E8" s="415"/>
      <c r="F8" s="415"/>
      <c r="G8" s="415"/>
      <c r="H8" s="415"/>
      <c r="I8" s="415"/>
      <c r="J8" s="415"/>
    </row>
    <row r="9" spans="1:10" x14ac:dyDescent="0.25">
      <c r="A9" s="386" t="s">
        <v>83</v>
      </c>
      <c r="B9" s="387" t="s">
        <v>360</v>
      </c>
      <c r="C9" s="388" t="s">
        <v>125</v>
      </c>
      <c r="D9" s="211" t="s">
        <v>12</v>
      </c>
      <c r="E9" s="206">
        <f>SUM(F9:J9)</f>
        <v>5968.8421099999996</v>
      </c>
      <c r="F9" s="206">
        <f>SUM(F10:F15)</f>
        <v>5968.8421099999996</v>
      </c>
      <c r="G9" s="206">
        <v>0</v>
      </c>
      <c r="H9" s="206">
        <v>0</v>
      </c>
      <c r="I9" s="206">
        <f t="shared" ref="I9:J9" si="0">SUM(I10:I15)</f>
        <v>0</v>
      </c>
      <c r="J9" s="206">
        <f t="shared" si="0"/>
        <v>0</v>
      </c>
    </row>
    <row r="10" spans="1:10" x14ac:dyDescent="0.25">
      <c r="A10" s="386"/>
      <c r="B10" s="387"/>
      <c r="C10" s="388"/>
      <c r="D10" s="289" t="s">
        <v>13</v>
      </c>
      <c r="E10" s="207">
        <f t="shared" ref="E10:E50" si="1">SUM(F10:J10)</f>
        <v>2211.4565899999998</v>
      </c>
      <c r="F10" s="207">
        <f>2211.5-0.04341</f>
        <v>2211.4565899999998</v>
      </c>
      <c r="G10" s="207">
        <v>0</v>
      </c>
      <c r="H10" s="207">
        <v>0</v>
      </c>
      <c r="I10" s="207">
        <v>0</v>
      </c>
      <c r="J10" s="207">
        <f>I10*4</f>
        <v>0</v>
      </c>
    </row>
    <row r="11" spans="1:10" x14ac:dyDescent="0.25">
      <c r="A11" s="386"/>
      <c r="B11" s="387"/>
      <c r="C11" s="388"/>
      <c r="D11" s="289" t="s">
        <v>14</v>
      </c>
      <c r="E11" s="207">
        <f t="shared" si="1"/>
        <v>3458.9434100000003</v>
      </c>
      <c r="F11" s="207">
        <f>3458.9+0.04341</f>
        <v>3458.9434100000003</v>
      </c>
      <c r="G11" s="207">
        <v>0</v>
      </c>
      <c r="H11" s="207">
        <v>0</v>
      </c>
      <c r="I11" s="207">
        <v>0</v>
      </c>
      <c r="J11" s="207">
        <f t="shared" ref="J11:J15" si="2">I11*4</f>
        <v>0</v>
      </c>
    </row>
    <row r="12" spans="1:10" x14ac:dyDescent="0.25">
      <c r="A12" s="386"/>
      <c r="B12" s="387"/>
      <c r="C12" s="388"/>
      <c r="D12" s="289" t="s">
        <v>15</v>
      </c>
      <c r="E12" s="207">
        <f t="shared" si="1"/>
        <v>298.44210999999996</v>
      </c>
      <c r="F12" s="207">
        <f>298.4421+0.00001</f>
        <v>298.44210999999996</v>
      </c>
      <c r="G12" s="207">
        <v>0</v>
      </c>
      <c r="H12" s="207">
        <v>0</v>
      </c>
      <c r="I12" s="207">
        <v>0</v>
      </c>
      <c r="J12" s="207">
        <f t="shared" si="2"/>
        <v>0</v>
      </c>
    </row>
    <row r="13" spans="1:10" ht="30" x14ac:dyDescent="0.25">
      <c r="A13" s="386"/>
      <c r="B13" s="387"/>
      <c r="C13" s="388"/>
      <c r="D13" s="289" t="s">
        <v>89</v>
      </c>
      <c r="E13" s="207">
        <f t="shared" si="1"/>
        <v>0</v>
      </c>
      <c r="F13" s="207">
        <v>0</v>
      </c>
      <c r="G13" s="207">
        <v>0</v>
      </c>
      <c r="H13" s="207">
        <v>0</v>
      </c>
      <c r="I13" s="207">
        <v>0</v>
      </c>
      <c r="J13" s="207">
        <f t="shared" si="2"/>
        <v>0</v>
      </c>
    </row>
    <row r="14" spans="1:10" x14ac:dyDescent="0.25">
      <c r="A14" s="386"/>
      <c r="B14" s="387"/>
      <c r="C14" s="388"/>
      <c r="D14" s="289" t="s">
        <v>90</v>
      </c>
      <c r="E14" s="207">
        <f t="shared" si="1"/>
        <v>0</v>
      </c>
      <c r="F14" s="207">
        <v>0</v>
      </c>
      <c r="G14" s="207">
        <v>0</v>
      </c>
      <c r="H14" s="207">
        <v>0</v>
      </c>
      <c r="I14" s="207">
        <v>0</v>
      </c>
      <c r="J14" s="207">
        <f t="shared" si="2"/>
        <v>0</v>
      </c>
    </row>
    <row r="15" spans="1:10" x14ac:dyDescent="0.25">
      <c r="A15" s="386"/>
      <c r="B15" s="387"/>
      <c r="C15" s="388"/>
      <c r="D15" s="289" t="s">
        <v>18</v>
      </c>
      <c r="E15" s="207">
        <f t="shared" si="1"/>
        <v>0</v>
      </c>
      <c r="F15" s="207">
        <v>0</v>
      </c>
      <c r="G15" s="207">
        <v>0</v>
      </c>
      <c r="H15" s="207">
        <v>0</v>
      </c>
      <c r="I15" s="207">
        <v>0</v>
      </c>
      <c r="J15" s="207">
        <f t="shared" si="2"/>
        <v>0</v>
      </c>
    </row>
    <row r="16" spans="1:10" s="209" customFormat="1" x14ac:dyDescent="0.25">
      <c r="A16" s="398" t="s">
        <v>129</v>
      </c>
      <c r="B16" s="405" t="s">
        <v>361</v>
      </c>
      <c r="C16" s="389" t="s">
        <v>338</v>
      </c>
      <c r="D16" s="211" t="s">
        <v>12</v>
      </c>
      <c r="E16" s="206">
        <f>SUM(F16:J16)</f>
        <v>406748.45289999997</v>
      </c>
      <c r="F16" s="206">
        <f t="shared" ref="F16" si="3">SUM(F17:F22)</f>
        <v>0</v>
      </c>
      <c r="G16" s="206">
        <f t="shared" ref="G16:J16" si="4">SUM(G17:G22)</f>
        <v>205948.45289999997</v>
      </c>
      <c r="H16" s="206">
        <f t="shared" si="4"/>
        <v>100800</v>
      </c>
      <c r="I16" s="206">
        <f t="shared" si="4"/>
        <v>100000</v>
      </c>
      <c r="J16" s="206">
        <f t="shared" si="4"/>
        <v>0</v>
      </c>
    </row>
    <row r="17" spans="1:11" s="210" customFormat="1" x14ac:dyDescent="0.25">
      <c r="A17" s="399"/>
      <c r="B17" s="406"/>
      <c r="C17" s="389"/>
      <c r="D17" s="289" t="s">
        <v>13</v>
      </c>
      <c r="E17" s="207">
        <f t="shared" ref="E17:E29" si="5">SUM(F17:J17)</f>
        <v>0</v>
      </c>
      <c r="F17" s="207">
        <v>0</v>
      </c>
      <c r="G17" s="207">
        <v>0</v>
      </c>
      <c r="H17" s="207">
        <v>0</v>
      </c>
      <c r="I17" s="207">
        <v>0</v>
      </c>
      <c r="J17" s="207">
        <f>I17*4</f>
        <v>0</v>
      </c>
      <c r="K17" s="234"/>
    </row>
    <row r="18" spans="1:11" s="210" customFormat="1" x14ac:dyDescent="0.25">
      <c r="A18" s="399"/>
      <c r="B18" s="406"/>
      <c r="C18" s="389"/>
      <c r="D18" s="289" t="s">
        <v>14</v>
      </c>
      <c r="E18" s="207">
        <f t="shared" si="5"/>
        <v>0</v>
      </c>
      <c r="F18" s="206">
        <v>0</v>
      </c>
      <c r="G18" s="206">
        <v>0</v>
      </c>
      <c r="H18" s="206">
        <v>0</v>
      </c>
      <c r="I18" s="206">
        <v>0</v>
      </c>
      <c r="J18" s="207">
        <f t="shared" ref="J18:J22" si="6">I18*4</f>
        <v>0</v>
      </c>
      <c r="K18" s="234"/>
    </row>
    <row r="19" spans="1:11" s="210" customFormat="1" x14ac:dyDescent="0.25">
      <c r="A19" s="399"/>
      <c r="B19" s="406"/>
      <c r="C19" s="389"/>
      <c r="D19" s="289" t="s">
        <v>15</v>
      </c>
      <c r="E19" s="207">
        <f>SUM(F19:J19)</f>
        <v>406748.45289999997</v>
      </c>
      <c r="F19" s="207">
        <f>'[1]таблица 4'!I12</f>
        <v>0</v>
      </c>
      <c r="G19" s="207">
        <f>264161.92695+15621.06808-97980.5+97980.5-29000-3400.415-4150-21663.05905-15621.06808</f>
        <v>205948.45289999997</v>
      </c>
      <c r="H19" s="207">
        <f>'таблица 4'!I11</f>
        <v>100800</v>
      </c>
      <c r="I19" s="207">
        <f>'таблица 4'!J11</f>
        <v>100000</v>
      </c>
      <c r="J19" s="207">
        <v>0</v>
      </c>
    </row>
    <row r="20" spans="1:11" s="210" customFormat="1" ht="30" x14ac:dyDescent="0.25">
      <c r="A20" s="399"/>
      <c r="B20" s="406"/>
      <c r="C20" s="389"/>
      <c r="D20" s="289" t="s">
        <v>91</v>
      </c>
      <c r="E20" s="207">
        <f t="shared" si="5"/>
        <v>0</v>
      </c>
      <c r="F20" s="206">
        <v>0</v>
      </c>
      <c r="G20" s="206">
        <v>0</v>
      </c>
      <c r="H20" s="206">
        <v>0</v>
      </c>
      <c r="I20" s="206">
        <v>0</v>
      </c>
      <c r="J20" s="207">
        <f t="shared" si="6"/>
        <v>0</v>
      </c>
    </row>
    <row r="21" spans="1:11" s="210" customFormat="1" ht="24" customHeight="1" x14ac:dyDescent="0.25">
      <c r="A21" s="399"/>
      <c r="B21" s="406"/>
      <c r="C21" s="389"/>
      <c r="D21" s="289" t="s">
        <v>90</v>
      </c>
      <c r="E21" s="207">
        <f t="shared" si="5"/>
        <v>0</v>
      </c>
      <c r="F21" s="206">
        <v>0</v>
      </c>
      <c r="G21" s="206">
        <v>0</v>
      </c>
      <c r="H21" s="206">
        <v>0</v>
      </c>
      <c r="I21" s="206">
        <v>0</v>
      </c>
      <c r="J21" s="207">
        <f t="shared" si="6"/>
        <v>0</v>
      </c>
    </row>
    <row r="22" spans="1:11" s="210" customFormat="1" ht="21.75" customHeight="1" x14ac:dyDescent="0.25">
      <c r="A22" s="404"/>
      <c r="B22" s="407"/>
      <c r="C22" s="389"/>
      <c r="D22" s="289" t="s">
        <v>18</v>
      </c>
      <c r="E22" s="207">
        <f t="shared" si="5"/>
        <v>0</v>
      </c>
      <c r="F22" s="207">
        <v>0</v>
      </c>
      <c r="G22" s="207">
        <f>'таблица 4'!I21</f>
        <v>0</v>
      </c>
      <c r="H22" s="207">
        <f>'таблица 4'!J21</f>
        <v>0</v>
      </c>
      <c r="I22" s="207">
        <v>0</v>
      </c>
      <c r="J22" s="207">
        <f t="shared" si="6"/>
        <v>0</v>
      </c>
    </row>
    <row r="23" spans="1:11" s="209" customFormat="1" ht="15" customHeight="1" x14ac:dyDescent="0.25">
      <c r="A23" s="398" t="s">
        <v>198</v>
      </c>
      <c r="B23" s="405" t="s">
        <v>362</v>
      </c>
      <c r="C23" s="389" t="s">
        <v>338</v>
      </c>
      <c r="D23" s="211" t="s">
        <v>12</v>
      </c>
      <c r="E23" s="206">
        <f t="shared" si="5"/>
        <v>0</v>
      </c>
      <c r="F23" s="206">
        <f t="shared" ref="F23" si="7">SUM(F24:F29)</f>
        <v>0</v>
      </c>
      <c r="G23" s="206">
        <f t="shared" ref="G23:J23" si="8">SUM(G24:G29)</f>
        <v>0</v>
      </c>
      <c r="H23" s="206">
        <f t="shared" si="8"/>
        <v>0</v>
      </c>
      <c r="I23" s="206">
        <f t="shared" si="8"/>
        <v>0</v>
      </c>
      <c r="J23" s="206">
        <f t="shared" si="8"/>
        <v>0</v>
      </c>
    </row>
    <row r="24" spans="1:11" s="210" customFormat="1" x14ac:dyDescent="0.25">
      <c r="A24" s="399"/>
      <c r="B24" s="406"/>
      <c r="C24" s="389"/>
      <c r="D24" s="289" t="s">
        <v>13</v>
      </c>
      <c r="E24" s="207">
        <f t="shared" si="5"/>
        <v>0</v>
      </c>
      <c r="F24" s="207">
        <v>0</v>
      </c>
      <c r="G24" s="207">
        <v>0</v>
      </c>
      <c r="H24" s="207">
        <v>0</v>
      </c>
      <c r="I24" s="207">
        <v>0</v>
      </c>
      <c r="J24" s="207">
        <f>I24*4</f>
        <v>0</v>
      </c>
    </row>
    <row r="25" spans="1:11" s="210" customFormat="1" x14ac:dyDescent="0.25">
      <c r="A25" s="399"/>
      <c r="B25" s="406"/>
      <c r="C25" s="389"/>
      <c r="D25" s="289" t="s">
        <v>14</v>
      </c>
      <c r="E25" s="207">
        <f t="shared" si="5"/>
        <v>0</v>
      </c>
      <c r="F25" s="206">
        <v>0</v>
      </c>
      <c r="G25" s="206">
        <v>0</v>
      </c>
      <c r="H25" s="206">
        <v>0</v>
      </c>
      <c r="I25" s="206">
        <v>0</v>
      </c>
      <c r="J25" s="207">
        <f t="shared" ref="J25:J29" si="9">I25*4</f>
        <v>0</v>
      </c>
    </row>
    <row r="26" spans="1:11" s="210" customFormat="1" x14ac:dyDescent="0.25">
      <c r="A26" s="399"/>
      <c r="B26" s="406"/>
      <c r="C26" s="389"/>
      <c r="D26" s="289" t="s">
        <v>15</v>
      </c>
      <c r="E26" s="207">
        <f t="shared" si="5"/>
        <v>0</v>
      </c>
      <c r="F26" s="207">
        <v>0</v>
      </c>
      <c r="G26" s="207">
        <v>0</v>
      </c>
      <c r="H26" s="206">
        <v>0</v>
      </c>
      <c r="I26" s="206">
        <v>0</v>
      </c>
      <c r="J26" s="207">
        <f t="shared" si="9"/>
        <v>0</v>
      </c>
    </row>
    <row r="27" spans="1:11" s="210" customFormat="1" ht="30" x14ac:dyDescent="0.25">
      <c r="A27" s="399"/>
      <c r="B27" s="406"/>
      <c r="C27" s="389"/>
      <c r="D27" s="289" t="s">
        <v>91</v>
      </c>
      <c r="E27" s="207">
        <f t="shared" si="5"/>
        <v>0</v>
      </c>
      <c r="F27" s="206">
        <v>0</v>
      </c>
      <c r="G27" s="206">
        <v>0</v>
      </c>
      <c r="H27" s="206">
        <v>0</v>
      </c>
      <c r="I27" s="206">
        <v>0</v>
      </c>
      <c r="J27" s="207">
        <f t="shared" si="9"/>
        <v>0</v>
      </c>
    </row>
    <row r="28" spans="1:11" s="210" customFormat="1" ht="15.75" customHeight="1" x14ac:dyDescent="0.25">
      <c r="A28" s="399"/>
      <c r="B28" s="406"/>
      <c r="C28" s="389"/>
      <c r="D28" s="289" t="s">
        <v>90</v>
      </c>
      <c r="E28" s="207">
        <f t="shared" si="5"/>
        <v>0</v>
      </c>
      <c r="F28" s="207">
        <v>0</v>
      </c>
      <c r="G28" s="207">
        <v>0</v>
      </c>
      <c r="H28" s="207">
        <v>0</v>
      </c>
      <c r="I28" s="207">
        <v>0</v>
      </c>
      <c r="J28" s="207">
        <f t="shared" si="9"/>
        <v>0</v>
      </c>
    </row>
    <row r="29" spans="1:11" s="210" customFormat="1" ht="15.75" customHeight="1" x14ac:dyDescent="0.25">
      <c r="A29" s="404"/>
      <c r="B29" s="407"/>
      <c r="C29" s="389"/>
      <c r="D29" s="289" t="s">
        <v>18</v>
      </c>
      <c r="E29" s="207">
        <f t="shared" si="5"/>
        <v>0</v>
      </c>
      <c r="F29" s="207">
        <v>0</v>
      </c>
      <c r="G29" s="283">
        <f>17849.58467-17849.58467</f>
        <v>0</v>
      </c>
      <c r="H29" s="284">
        <f>212435.84119-212435.84119</f>
        <v>0</v>
      </c>
      <c r="I29" s="207">
        <v>0</v>
      </c>
      <c r="J29" s="207">
        <f t="shared" si="9"/>
        <v>0</v>
      </c>
    </row>
    <row r="30" spans="1:11" s="210" customFormat="1" ht="15.75" customHeight="1" x14ac:dyDescent="0.25">
      <c r="A30" s="398" t="s">
        <v>334</v>
      </c>
      <c r="B30" s="405" t="s">
        <v>394</v>
      </c>
      <c r="C30" s="389" t="s">
        <v>8</v>
      </c>
      <c r="D30" s="211" t="s">
        <v>12</v>
      </c>
      <c r="E30" s="206">
        <f>SUM(F30:J30)</f>
        <v>600</v>
      </c>
      <c r="F30" s="206">
        <f t="shared" ref="F30" si="10">SUM(F31:F36)</f>
        <v>0</v>
      </c>
      <c r="G30" s="206">
        <f t="shared" ref="G30:J30" si="11">SUM(G31:G36)</f>
        <v>600</v>
      </c>
      <c r="H30" s="206">
        <f t="shared" si="11"/>
        <v>0</v>
      </c>
      <c r="I30" s="206">
        <f t="shared" si="11"/>
        <v>0</v>
      </c>
      <c r="J30" s="206">
        <f t="shared" si="11"/>
        <v>0</v>
      </c>
    </row>
    <row r="31" spans="1:11" s="210" customFormat="1" ht="15.75" customHeight="1" x14ac:dyDescent="0.25">
      <c r="A31" s="399"/>
      <c r="B31" s="406"/>
      <c r="C31" s="389"/>
      <c r="D31" s="289" t="s">
        <v>13</v>
      </c>
      <c r="E31" s="207">
        <f t="shared" ref="E31:E36" si="12">SUM(F31:J31)</f>
        <v>0</v>
      </c>
      <c r="F31" s="207">
        <v>0</v>
      </c>
      <c r="G31" s="207">
        <v>0</v>
      </c>
      <c r="H31" s="207">
        <v>0</v>
      </c>
      <c r="I31" s="207">
        <v>0</v>
      </c>
      <c r="J31" s="207">
        <f>I31*4</f>
        <v>0</v>
      </c>
    </row>
    <row r="32" spans="1:11" s="210" customFormat="1" ht="15.75" customHeight="1" x14ac:dyDescent="0.25">
      <c r="A32" s="399"/>
      <c r="B32" s="406"/>
      <c r="C32" s="389"/>
      <c r="D32" s="289" t="s">
        <v>14</v>
      </c>
      <c r="E32" s="207">
        <f t="shared" si="12"/>
        <v>0</v>
      </c>
      <c r="F32" s="207">
        <v>0</v>
      </c>
      <c r="G32" s="207">
        <v>0</v>
      </c>
      <c r="H32" s="207">
        <v>0</v>
      </c>
      <c r="I32" s="207">
        <v>0</v>
      </c>
      <c r="J32" s="207">
        <v>0</v>
      </c>
    </row>
    <row r="33" spans="1:12" s="210" customFormat="1" ht="15.75" customHeight="1" x14ac:dyDescent="0.25">
      <c r="A33" s="399"/>
      <c r="B33" s="406"/>
      <c r="C33" s="389"/>
      <c r="D33" s="289" t="s">
        <v>15</v>
      </c>
      <c r="E33" s="207">
        <f>SUM(F33:J33)</f>
        <v>600</v>
      </c>
      <c r="F33" s="207">
        <v>0</v>
      </c>
      <c r="G33" s="207">
        <v>600</v>
      </c>
      <c r="H33" s="207">
        <v>0</v>
      </c>
      <c r="I33" s="207">
        <v>0</v>
      </c>
      <c r="J33" s="207">
        <v>0</v>
      </c>
    </row>
    <row r="34" spans="1:12" s="210" customFormat="1" ht="32.25" customHeight="1" x14ac:dyDescent="0.25">
      <c r="A34" s="399"/>
      <c r="B34" s="406"/>
      <c r="C34" s="389"/>
      <c r="D34" s="289" t="s">
        <v>91</v>
      </c>
      <c r="E34" s="207">
        <f t="shared" si="12"/>
        <v>0</v>
      </c>
      <c r="F34" s="207">
        <v>0</v>
      </c>
      <c r="G34" s="207">
        <v>0</v>
      </c>
      <c r="H34" s="207">
        <v>0</v>
      </c>
      <c r="I34" s="207">
        <v>0</v>
      </c>
      <c r="J34" s="207">
        <f t="shared" ref="J34:J36" si="13">I34*4</f>
        <v>0</v>
      </c>
    </row>
    <row r="35" spans="1:12" s="210" customFormat="1" ht="15.75" customHeight="1" x14ac:dyDescent="0.25">
      <c r="A35" s="399"/>
      <c r="B35" s="406"/>
      <c r="C35" s="389"/>
      <c r="D35" s="289" t="s">
        <v>90</v>
      </c>
      <c r="E35" s="207">
        <f t="shared" si="12"/>
        <v>0</v>
      </c>
      <c r="F35" s="207">
        <v>0</v>
      </c>
      <c r="G35" s="207">
        <v>0</v>
      </c>
      <c r="H35" s="207">
        <v>0</v>
      </c>
      <c r="I35" s="207">
        <v>0</v>
      </c>
      <c r="J35" s="207">
        <f t="shared" si="13"/>
        <v>0</v>
      </c>
    </row>
    <row r="36" spans="1:12" s="210" customFormat="1" ht="15.75" customHeight="1" x14ac:dyDescent="0.25">
      <c r="A36" s="404"/>
      <c r="B36" s="407"/>
      <c r="C36" s="389"/>
      <c r="D36" s="289" t="s">
        <v>18</v>
      </c>
      <c r="E36" s="207">
        <f t="shared" si="12"/>
        <v>0</v>
      </c>
      <c r="F36" s="268">
        <v>0</v>
      </c>
      <c r="G36" s="268">
        <v>0</v>
      </c>
      <c r="H36" s="207">
        <v>0</v>
      </c>
      <c r="I36" s="207">
        <v>0</v>
      </c>
      <c r="J36" s="207">
        <f t="shared" si="13"/>
        <v>0</v>
      </c>
    </row>
    <row r="37" spans="1:12" s="209" customFormat="1" ht="29.25" customHeight="1" x14ac:dyDescent="0.25">
      <c r="A37" s="398" t="s">
        <v>391</v>
      </c>
      <c r="B37" s="405" t="s">
        <v>363</v>
      </c>
      <c r="C37" s="389" t="s">
        <v>8</v>
      </c>
      <c r="D37" s="211" t="s">
        <v>12</v>
      </c>
      <c r="E37" s="206">
        <f t="shared" si="1"/>
        <v>10989.6036</v>
      </c>
      <c r="F37" s="206">
        <f t="shared" ref="F37" si="14">SUM(F38:F43)</f>
        <v>3993.4570700000004</v>
      </c>
      <c r="G37" s="206">
        <f t="shared" ref="G37:J37" si="15">SUM(G38:G43)</f>
        <v>4896.14653</v>
      </c>
      <c r="H37" s="206">
        <f t="shared" si="15"/>
        <v>350</v>
      </c>
      <c r="I37" s="206">
        <f t="shared" si="15"/>
        <v>350</v>
      </c>
      <c r="J37" s="206">
        <f t="shared" si="15"/>
        <v>1400</v>
      </c>
    </row>
    <row r="38" spans="1:12" s="210" customFormat="1" ht="21" customHeight="1" x14ac:dyDescent="0.25">
      <c r="A38" s="399"/>
      <c r="B38" s="406"/>
      <c r="C38" s="389"/>
      <c r="D38" s="289" t="s">
        <v>13</v>
      </c>
      <c r="E38" s="207">
        <f t="shared" si="1"/>
        <v>0</v>
      </c>
      <c r="F38" s="207">
        <v>0</v>
      </c>
      <c r="G38" s="207">
        <v>0</v>
      </c>
      <c r="H38" s="207">
        <v>0</v>
      </c>
      <c r="I38" s="207">
        <v>0</v>
      </c>
      <c r="J38" s="207">
        <f>I38*4</f>
        <v>0</v>
      </c>
    </row>
    <row r="39" spans="1:12" s="210" customFormat="1" x14ac:dyDescent="0.25">
      <c r="A39" s="399"/>
      <c r="B39" s="406"/>
      <c r="C39" s="389"/>
      <c r="D39" s="289" t="s">
        <v>14</v>
      </c>
      <c r="E39" s="207">
        <f t="shared" si="1"/>
        <v>0</v>
      </c>
      <c r="F39" s="207">
        <v>0</v>
      </c>
      <c r="G39" s="207">
        <v>0</v>
      </c>
      <c r="H39" s="207">
        <v>0</v>
      </c>
      <c r="I39" s="207">
        <v>0</v>
      </c>
      <c r="J39" s="207">
        <f t="shared" ref="J39:J43" si="16">I39*4</f>
        <v>0</v>
      </c>
    </row>
    <row r="40" spans="1:12" s="210" customFormat="1" x14ac:dyDescent="0.25">
      <c r="A40" s="399"/>
      <c r="B40" s="406"/>
      <c r="C40" s="389"/>
      <c r="D40" s="289" t="s">
        <v>15</v>
      </c>
      <c r="E40" s="207">
        <f t="shared" si="1"/>
        <v>4707.8436000000011</v>
      </c>
      <c r="F40" s="207">
        <f>5239.818-5079.958+476.4+357.19707</f>
        <v>993.45707000000061</v>
      </c>
      <c r="G40" s="207">
        <f>7.74+350+30+433.243+1233-600+160.40353</f>
        <v>1614.3865300000002</v>
      </c>
      <c r="H40" s="207">
        <v>350</v>
      </c>
      <c r="I40" s="207">
        <v>350</v>
      </c>
      <c r="J40" s="207">
        <f>I40*4</f>
        <v>1400</v>
      </c>
      <c r="K40" s="269"/>
      <c r="L40" s="234"/>
    </row>
    <row r="41" spans="1:12" s="210" customFormat="1" ht="30" x14ac:dyDescent="0.25">
      <c r="A41" s="399"/>
      <c r="B41" s="406"/>
      <c r="C41" s="389"/>
      <c r="D41" s="289" t="s">
        <v>91</v>
      </c>
      <c r="E41" s="207">
        <f t="shared" si="1"/>
        <v>0</v>
      </c>
      <c r="F41" s="207">
        <v>0</v>
      </c>
      <c r="G41" s="207">
        <v>0</v>
      </c>
      <c r="H41" s="207">
        <v>0</v>
      </c>
      <c r="I41" s="207">
        <v>0</v>
      </c>
      <c r="J41" s="207">
        <f t="shared" si="16"/>
        <v>0</v>
      </c>
    </row>
    <row r="42" spans="1:12" s="210" customFormat="1" x14ac:dyDescent="0.25">
      <c r="A42" s="399"/>
      <c r="B42" s="406"/>
      <c r="C42" s="389"/>
      <c r="D42" s="289" t="s">
        <v>90</v>
      </c>
      <c r="E42" s="207">
        <f t="shared" si="1"/>
        <v>0</v>
      </c>
      <c r="F42" s="207">
        <v>0</v>
      </c>
      <c r="G42" s="207">
        <v>0</v>
      </c>
      <c r="H42" s="207">
        <v>0</v>
      </c>
      <c r="I42" s="207">
        <v>0</v>
      </c>
      <c r="J42" s="207">
        <f t="shared" si="16"/>
        <v>0</v>
      </c>
    </row>
    <row r="43" spans="1:12" s="210" customFormat="1" x14ac:dyDescent="0.25">
      <c r="A43" s="404"/>
      <c r="B43" s="407"/>
      <c r="C43" s="389"/>
      <c r="D43" s="289" t="s">
        <v>18</v>
      </c>
      <c r="E43" s="207">
        <f t="shared" si="1"/>
        <v>6281.76</v>
      </c>
      <c r="F43" s="268">
        <f>2754.276+1109.48-490+3000-3373.756</f>
        <v>2999.9999999999995</v>
      </c>
      <c r="G43" s="268">
        <f>7388.3-4106.54</f>
        <v>3281.76</v>
      </c>
      <c r="H43" s="207">
        <v>0</v>
      </c>
      <c r="I43" s="207">
        <v>0</v>
      </c>
      <c r="J43" s="207">
        <f t="shared" si="16"/>
        <v>0</v>
      </c>
    </row>
    <row r="44" spans="1:12" s="208" customFormat="1" x14ac:dyDescent="0.25">
      <c r="A44" s="390" t="s">
        <v>92</v>
      </c>
      <c r="B44" s="390"/>
      <c r="C44" s="390"/>
      <c r="D44" s="211" t="s">
        <v>12</v>
      </c>
      <c r="E44" s="206">
        <f>SUM(F44:J44)</f>
        <v>424306.89860999997</v>
      </c>
      <c r="F44" s="206">
        <f>SUM(F45:F50)</f>
        <v>9962.29918</v>
      </c>
      <c r="G44" s="206">
        <f>SUM(G45:G50)</f>
        <v>211444.59942999997</v>
      </c>
      <c r="H44" s="206">
        <f t="shared" ref="H44:J44" si="17">SUM(H45:H50)</f>
        <v>101150</v>
      </c>
      <c r="I44" s="206">
        <f t="shared" si="17"/>
        <v>100350</v>
      </c>
      <c r="J44" s="206">
        <f t="shared" si="17"/>
        <v>1400</v>
      </c>
      <c r="K44" s="253"/>
    </row>
    <row r="45" spans="1:12" s="208" customFormat="1" x14ac:dyDescent="0.25">
      <c r="A45" s="390"/>
      <c r="B45" s="390"/>
      <c r="C45" s="390"/>
      <c r="D45" s="289" t="s">
        <v>13</v>
      </c>
      <c r="E45" s="207">
        <f t="shared" si="1"/>
        <v>2211.4565899999998</v>
      </c>
      <c r="F45" s="207">
        <f t="shared" ref="F45:F50" si="18">F10+F17+F24+F38</f>
        <v>2211.4565899999998</v>
      </c>
      <c r="G45" s="207">
        <f t="shared" ref="G45:J45" si="19">G10+G17+G24+G38</f>
        <v>0</v>
      </c>
      <c r="H45" s="207">
        <f t="shared" si="19"/>
        <v>0</v>
      </c>
      <c r="I45" s="207">
        <f t="shared" si="19"/>
        <v>0</v>
      </c>
      <c r="J45" s="207">
        <f t="shared" si="19"/>
        <v>0</v>
      </c>
      <c r="K45" s="253"/>
    </row>
    <row r="46" spans="1:12" s="208" customFormat="1" x14ac:dyDescent="0.25">
      <c r="A46" s="390"/>
      <c r="B46" s="390"/>
      <c r="C46" s="390"/>
      <c r="D46" s="289" t="s">
        <v>14</v>
      </c>
      <c r="E46" s="207">
        <f t="shared" si="1"/>
        <v>3458.9434100000003</v>
      </c>
      <c r="F46" s="207">
        <f t="shared" si="18"/>
        <v>3458.9434100000003</v>
      </c>
      <c r="G46" s="207">
        <f t="shared" ref="G46:J49" si="20">G11+G18+G25+G39</f>
        <v>0</v>
      </c>
      <c r="H46" s="207">
        <f t="shared" si="20"/>
        <v>0</v>
      </c>
      <c r="I46" s="207">
        <f t="shared" si="20"/>
        <v>0</v>
      </c>
      <c r="J46" s="207">
        <f t="shared" si="20"/>
        <v>0</v>
      </c>
      <c r="K46" s="253"/>
    </row>
    <row r="47" spans="1:12" s="208" customFormat="1" x14ac:dyDescent="0.25">
      <c r="A47" s="390"/>
      <c r="B47" s="390"/>
      <c r="C47" s="390"/>
      <c r="D47" s="289" t="s">
        <v>15</v>
      </c>
      <c r="E47" s="207">
        <f t="shared" si="1"/>
        <v>412354.73861</v>
      </c>
      <c r="F47" s="207">
        <f t="shared" si="18"/>
        <v>1291.8991800000006</v>
      </c>
      <c r="G47" s="207">
        <f>G12+G19+G26+G40+G33</f>
        <v>208162.83942999996</v>
      </c>
      <c r="H47" s="207">
        <f t="shared" si="20"/>
        <v>101150</v>
      </c>
      <c r="I47" s="207">
        <f t="shared" si="20"/>
        <v>100350</v>
      </c>
      <c r="J47" s="207">
        <f t="shared" si="20"/>
        <v>1400</v>
      </c>
      <c r="K47" s="253"/>
    </row>
    <row r="48" spans="1:12" s="208" customFormat="1" ht="30" x14ac:dyDescent="0.25">
      <c r="A48" s="390"/>
      <c r="B48" s="390"/>
      <c r="C48" s="390"/>
      <c r="D48" s="289" t="s">
        <v>91</v>
      </c>
      <c r="E48" s="207">
        <f t="shared" si="1"/>
        <v>0</v>
      </c>
      <c r="F48" s="207">
        <f t="shared" si="18"/>
        <v>0</v>
      </c>
      <c r="G48" s="207">
        <f t="shared" si="20"/>
        <v>0</v>
      </c>
      <c r="H48" s="207">
        <f t="shared" si="20"/>
        <v>0</v>
      </c>
      <c r="I48" s="207">
        <f t="shared" si="20"/>
        <v>0</v>
      </c>
      <c r="J48" s="207">
        <f t="shared" si="20"/>
        <v>0</v>
      </c>
      <c r="K48" s="253"/>
    </row>
    <row r="49" spans="1:11" s="208" customFormat="1" x14ac:dyDescent="0.25">
      <c r="A49" s="390"/>
      <c r="B49" s="390"/>
      <c r="C49" s="390"/>
      <c r="D49" s="289" t="s">
        <v>90</v>
      </c>
      <c r="E49" s="207">
        <f t="shared" si="1"/>
        <v>0</v>
      </c>
      <c r="F49" s="207">
        <f t="shared" si="18"/>
        <v>0</v>
      </c>
      <c r="G49" s="207">
        <f t="shared" si="20"/>
        <v>0</v>
      </c>
      <c r="H49" s="207">
        <f t="shared" si="20"/>
        <v>0</v>
      </c>
      <c r="I49" s="207">
        <f t="shared" si="20"/>
        <v>0</v>
      </c>
      <c r="J49" s="207">
        <f t="shared" si="20"/>
        <v>0</v>
      </c>
      <c r="K49" s="253"/>
    </row>
    <row r="50" spans="1:11" s="208" customFormat="1" x14ac:dyDescent="0.25">
      <c r="A50" s="390"/>
      <c r="B50" s="390"/>
      <c r="C50" s="390"/>
      <c r="D50" s="289" t="s">
        <v>18</v>
      </c>
      <c r="E50" s="207">
        <f t="shared" si="1"/>
        <v>6281.76</v>
      </c>
      <c r="F50" s="207">
        <f t="shared" si="18"/>
        <v>2999.9999999999995</v>
      </c>
      <c r="G50" s="207">
        <f t="shared" ref="G50:J50" si="21">G15+G22+G29+G43</f>
        <v>3281.76</v>
      </c>
      <c r="H50" s="207">
        <f t="shared" si="21"/>
        <v>0</v>
      </c>
      <c r="I50" s="207">
        <f t="shared" si="21"/>
        <v>0</v>
      </c>
      <c r="J50" s="207">
        <f t="shared" si="21"/>
        <v>0</v>
      </c>
      <c r="K50" s="253"/>
    </row>
    <row r="51" spans="1:11" s="209" customFormat="1" ht="15.75" customHeight="1" x14ac:dyDescent="0.25">
      <c r="A51" s="385" t="s">
        <v>317</v>
      </c>
      <c r="B51" s="385"/>
      <c r="C51" s="385"/>
      <c r="D51" s="385"/>
      <c r="E51" s="385"/>
      <c r="F51" s="385"/>
      <c r="G51" s="385"/>
      <c r="H51" s="385"/>
      <c r="I51" s="385"/>
      <c r="J51" s="385"/>
    </row>
    <row r="52" spans="1:11" s="210" customFormat="1" x14ac:dyDescent="0.25">
      <c r="A52" s="386" t="s">
        <v>118</v>
      </c>
      <c r="B52" s="387" t="s">
        <v>364</v>
      </c>
      <c r="C52" s="389" t="s">
        <v>8</v>
      </c>
      <c r="D52" s="211" t="s">
        <v>12</v>
      </c>
      <c r="E52" s="206">
        <f t="shared" ref="E52:E93" si="22">SUM(F52:J52)</f>
        <v>0</v>
      </c>
      <c r="F52" s="206">
        <f>SUM(F53:F58)</f>
        <v>0</v>
      </c>
      <c r="G52" s="206">
        <f>SUM(G53:G58)</f>
        <v>0</v>
      </c>
      <c r="H52" s="206">
        <f>SUM(H53:H58)</f>
        <v>0</v>
      </c>
      <c r="I52" s="206">
        <f>SUM(I53:I58)</f>
        <v>0</v>
      </c>
      <c r="J52" s="206">
        <f>SUM(J53:J58)</f>
        <v>0</v>
      </c>
    </row>
    <row r="53" spans="1:11" s="210" customFormat="1" x14ac:dyDescent="0.25">
      <c r="A53" s="386"/>
      <c r="B53" s="387"/>
      <c r="C53" s="389"/>
      <c r="D53" s="289" t="s">
        <v>13</v>
      </c>
      <c r="E53" s="206">
        <f t="shared" si="22"/>
        <v>0</v>
      </c>
      <c r="F53" s="207">
        <v>0</v>
      </c>
      <c r="G53" s="207">
        <v>0</v>
      </c>
      <c r="H53" s="207">
        <v>0</v>
      </c>
      <c r="I53" s="207">
        <v>0</v>
      </c>
      <c r="J53" s="207">
        <v>0</v>
      </c>
    </row>
    <row r="54" spans="1:11" s="210" customFormat="1" x14ac:dyDescent="0.25">
      <c r="A54" s="386"/>
      <c r="B54" s="387"/>
      <c r="C54" s="389"/>
      <c r="D54" s="289" t="s">
        <v>14</v>
      </c>
      <c r="E54" s="206">
        <f t="shared" si="22"/>
        <v>0</v>
      </c>
      <c r="F54" s="207">
        <v>0</v>
      </c>
      <c r="G54" s="207">
        <v>0</v>
      </c>
      <c r="H54" s="207">
        <v>0</v>
      </c>
      <c r="I54" s="207">
        <v>0</v>
      </c>
      <c r="J54" s="207">
        <v>0</v>
      </c>
    </row>
    <row r="55" spans="1:11" s="210" customFormat="1" x14ac:dyDescent="0.25">
      <c r="A55" s="386"/>
      <c r="B55" s="387"/>
      <c r="C55" s="389"/>
      <c r="D55" s="289" t="s">
        <v>15</v>
      </c>
      <c r="E55" s="206">
        <f t="shared" si="22"/>
        <v>0</v>
      </c>
      <c r="F55" s="207">
        <v>0</v>
      </c>
      <c r="G55" s="207">
        <v>0</v>
      </c>
      <c r="H55" s="207">
        <v>0</v>
      </c>
      <c r="I55" s="207">
        <v>0</v>
      </c>
      <c r="J55" s="207">
        <v>0</v>
      </c>
    </row>
    <row r="56" spans="1:11" s="210" customFormat="1" ht="30" x14ac:dyDescent="0.25">
      <c r="A56" s="386"/>
      <c r="B56" s="387"/>
      <c r="C56" s="389"/>
      <c r="D56" s="289" t="s">
        <v>89</v>
      </c>
      <c r="E56" s="206">
        <f t="shared" si="22"/>
        <v>0</v>
      </c>
      <c r="F56" s="207">
        <v>0</v>
      </c>
      <c r="G56" s="207">
        <v>0</v>
      </c>
      <c r="H56" s="207">
        <v>0</v>
      </c>
      <c r="I56" s="207">
        <v>0</v>
      </c>
      <c r="J56" s="207">
        <v>0</v>
      </c>
    </row>
    <row r="57" spans="1:11" s="210" customFormat="1" x14ac:dyDescent="0.25">
      <c r="A57" s="386"/>
      <c r="B57" s="387"/>
      <c r="C57" s="389"/>
      <c r="D57" s="289" t="s">
        <v>90</v>
      </c>
      <c r="E57" s="206">
        <f t="shared" si="22"/>
        <v>0</v>
      </c>
      <c r="F57" s="207">
        <v>0</v>
      </c>
      <c r="G57" s="207">
        <v>0</v>
      </c>
      <c r="H57" s="207">
        <v>0</v>
      </c>
      <c r="I57" s="207">
        <v>0</v>
      </c>
      <c r="J57" s="207">
        <v>0</v>
      </c>
    </row>
    <row r="58" spans="1:11" s="210" customFormat="1" x14ac:dyDescent="0.25">
      <c r="A58" s="386"/>
      <c r="B58" s="387"/>
      <c r="C58" s="389"/>
      <c r="D58" s="289" t="s">
        <v>18</v>
      </c>
      <c r="E58" s="206">
        <f t="shared" si="22"/>
        <v>0</v>
      </c>
      <c r="F58" s="207">
        <v>0</v>
      </c>
      <c r="G58" s="207">
        <v>0</v>
      </c>
      <c r="H58" s="207">
        <v>0</v>
      </c>
      <c r="I58" s="207">
        <v>0</v>
      </c>
      <c r="J58" s="207">
        <v>0</v>
      </c>
    </row>
    <row r="59" spans="1:11" s="210" customFormat="1" x14ac:dyDescent="0.25">
      <c r="A59" s="386" t="s">
        <v>119</v>
      </c>
      <c r="B59" s="387" t="s">
        <v>371</v>
      </c>
      <c r="C59" s="388" t="s">
        <v>125</v>
      </c>
      <c r="D59" s="211" t="s">
        <v>12</v>
      </c>
      <c r="E59" s="206">
        <f t="shared" ref="E59:E65" si="23">SUM(F59:J59)</f>
        <v>0</v>
      </c>
      <c r="F59" s="206">
        <f>SUM(F60:F65)</f>
        <v>0</v>
      </c>
      <c r="G59" s="206">
        <f>SUM(G60:G65)</f>
        <v>0</v>
      </c>
      <c r="H59" s="206">
        <f>SUM(H60:H65)</f>
        <v>0</v>
      </c>
      <c r="I59" s="206">
        <f>SUM(I60:I65)</f>
        <v>0</v>
      </c>
      <c r="J59" s="206">
        <f>SUM(J60:J65)</f>
        <v>0</v>
      </c>
    </row>
    <row r="60" spans="1:11" s="210" customFormat="1" x14ac:dyDescent="0.25">
      <c r="A60" s="386"/>
      <c r="B60" s="387"/>
      <c r="C60" s="388"/>
      <c r="D60" s="289" t="s">
        <v>13</v>
      </c>
      <c r="E60" s="206">
        <f t="shared" si="23"/>
        <v>0</v>
      </c>
      <c r="F60" s="207">
        <v>0</v>
      </c>
      <c r="G60" s="207">
        <v>0</v>
      </c>
      <c r="H60" s="207">
        <v>0</v>
      </c>
      <c r="I60" s="207">
        <v>0</v>
      </c>
      <c r="J60" s="207">
        <v>0</v>
      </c>
    </row>
    <row r="61" spans="1:11" s="210" customFormat="1" x14ac:dyDescent="0.25">
      <c r="A61" s="386"/>
      <c r="B61" s="387"/>
      <c r="C61" s="388"/>
      <c r="D61" s="289" t="s">
        <v>14</v>
      </c>
      <c r="E61" s="206">
        <f t="shared" si="23"/>
        <v>0</v>
      </c>
      <c r="F61" s="207">
        <v>0</v>
      </c>
      <c r="G61" s="207">
        <v>0</v>
      </c>
      <c r="H61" s="207">
        <v>0</v>
      </c>
      <c r="I61" s="207">
        <v>0</v>
      </c>
      <c r="J61" s="207">
        <v>0</v>
      </c>
    </row>
    <row r="62" spans="1:11" s="210" customFormat="1" x14ac:dyDescent="0.25">
      <c r="A62" s="386"/>
      <c r="B62" s="387"/>
      <c r="C62" s="388"/>
      <c r="D62" s="289" t="s">
        <v>15</v>
      </c>
      <c r="E62" s="206">
        <f t="shared" si="23"/>
        <v>0</v>
      </c>
      <c r="F62" s="207">
        <f>70-70</f>
        <v>0</v>
      </c>
      <c r="G62" s="207">
        <v>0</v>
      </c>
      <c r="H62" s="207">
        <v>0</v>
      </c>
      <c r="I62" s="207">
        <v>0</v>
      </c>
      <c r="J62" s="207">
        <f>I62*4</f>
        <v>0</v>
      </c>
    </row>
    <row r="63" spans="1:11" s="210" customFormat="1" ht="30" x14ac:dyDescent="0.25">
      <c r="A63" s="386"/>
      <c r="B63" s="387"/>
      <c r="C63" s="388"/>
      <c r="D63" s="289" t="s">
        <v>91</v>
      </c>
      <c r="E63" s="206">
        <f t="shared" si="23"/>
        <v>0</v>
      </c>
      <c r="F63" s="207">
        <v>0</v>
      </c>
      <c r="G63" s="207">
        <v>0</v>
      </c>
      <c r="H63" s="207">
        <v>0</v>
      </c>
      <c r="I63" s="207">
        <v>0</v>
      </c>
      <c r="J63" s="207">
        <v>0</v>
      </c>
    </row>
    <row r="64" spans="1:11" s="210" customFormat="1" ht="24.75" customHeight="1" x14ac:dyDescent="0.25">
      <c r="A64" s="386"/>
      <c r="B64" s="387"/>
      <c r="C64" s="388"/>
      <c r="D64" s="289" t="s">
        <v>90</v>
      </c>
      <c r="E64" s="206">
        <f t="shared" si="23"/>
        <v>0</v>
      </c>
      <c r="F64" s="207">
        <v>0</v>
      </c>
      <c r="G64" s="207">
        <v>0</v>
      </c>
      <c r="H64" s="207">
        <v>0</v>
      </c>
      <c r="I64" s="207">
        <v>0</v>
      </c>
      <c r="J64" s="207">
        <v>0</v>
      </c>
    </row>
    <row r="65" spans="1:12" s="210" customFormat="1" ht="20.25" customHeight="1" x14ac:dyDescent="0.25">
      <c r="A65" s="386"/>
      <c r="B65" s="387"/>
      <c r="C65" s="388"/>
      <c r="D65" s="289" t="s">
        <v>18</v>
      </c>
      <c r="E65" s="206">
        <f t="shared" si="23"/>
        <v>0</v>
      </c>
      <c r="F65" s="207">
        <v>0</v>
      </c>
      <c r="G65" s="207">
        <v>0</v>
      </c>
      <c r="H65" s="207">
        <v>0</v>
      </c>
      <c r="I65" s="207">
        <v>0</v>
      </c>
      <c r="J65" s="207">
        <v>0</v>
      </c>
    </row>
    <row r="66" spans="1:12" s="210" customFormat="1" ht="24" customHeight="1" x14ac:dyDescent="0.25">
      <c r="A66" s="398" t="s">
        <v>121</v>
      </c>
      <c r="B66" s="400" t="s">
        <v>390</v>
      </c>
      <c r="C66" s="389" t="s">
        <v>8</v>
      </c>
      <c r="D66" s="211" t="s">
        <v>12</v>
      </c>
      <c r="E66" s="206">
        <f t="shared" si="22"/>
        <v>639073.35158000002</v>
      </c>
      <c r="F66" s="206">
        <f t="shared" ref="F66" si="24">SUM(F67:F72)</f>
        <v>68675.076180000004</v>
      </c>
      <c r="G66" s="206">
        <f>SUM(G67:G72)</f>
        <v>75077.48539999999</v>
      </c>
      <c r="H66" s="206">
        <f t="shared" ref="H66:J66" si="25">SUM(H67:H72)</f>
        <v>82553.464999999997</v>
      </c>
      <c r="I66" s="206">
        <f t="shared" si="25"/>
        <v>82553.464999999997</v>
      </c>
      <c r="J66" s="206">
        <f t="shared" si="25"/>
        <v>330213.86</v>
      </c>
    </row>
    <row r="67" spans="1:12" s="210" customFormat="1" ht="16.5" customHeight="1" x14ac:dyDescent="0.25">
      <c r="A67" s="399"/>
      <c r="B67" s="401"/>
      <c r="C67" s="389"/>
      <c r="D67" s="289" t="s">
        <v>13</v>
      </c>
      <c r="E67" s="207">
        <f t="shared" si="22"/>
        <v>0</v>
      </c>
      <c r="F67" s="207">
        <v>0</v>
      </c>
      <c r="G67" s="207">
        <v>0</v>
      </c>
      <c r="H67" s="207">
        <v>0</v>
      </c>
      <c r="I67" s="207">
        <v>0</v>
      </c>
      <c r="J67" s="207">
        <f>I67*4</f>
        <v>0</v>
      </c>
    </row>
    <row r="68" spans="1:12" s="210" customFormat="1" ht="16.5" customHeight="1" x14ac:dyDescent="0.25">
      <c r="A68" s="399"/>
      <c r="B68" s="401"/>
      <c r="C68" s="389"/>
      <c r="D68" s="289" t="s">
        <v>14</v>
      </c>
      <c r="E68" s="207">
        <f t="shared" si="22"/>
        <v>0</v>
      </c>
      <c r="F68" s="207">
        <v>0</v>
      </c>
      <c r="G68" s="207">
        <v>0</v>
      </c>
      <c r="H68" s="207">
        <v>0</v>
      </c>
      <c r="I68" s="207">
        <v>0</v>
      </c>
      <c r="J68" s="207">
        <f t="shared" ref="J68:J72" si="26">I68*4</f>
        <v>0</v>
      </c>
    </row>
    <row r="69" spans="1:12" s="210" customFormat="1" ht="16.5" customHeight="1" x14ac:dyDescent="0.25">
      <c r="A69" s="399"/>
      <c r="B69" s="401"/>
      <c r="C69" s="389"/>
      <c r="D69" s="289" t="s">
        <v>15</v>
      </c>
      <c r="E69" s="207">
        <f t="shared" si="22"/>
        <v>435656.07157999999</v>
      </c>
      <c r="F69" s="207">
        <f>48628.6202+122.61579-0.00001-290-300+2345.356+7048.9+13526.42287-258-2148.83867</f>
        <v>68675.076180000004</v>
      </c>
      <c r="G69" s="207">
        <f>64780.61-13868.432+133+23375.6074-843.3</f>
        <v>73577.48539999999</v>
      </c>
      <c r="H69" s="207">
        <v>48900.584999999999</v>
      </c>
      <c r="I69" s="207">
        <v>48900.584999999999</v>
      </c>
      <c r="J69" s="207">
        <f t="shared" si="26"/>
        <v>195602.34</v>
      </c>
      <c r="L69" s="234"/>
    </row>
    <row r="70" spans="1:12" s="210" customFormat="1" ht="30" x14ac:dyDescent="0.25">
      <c r="A70" s="399"/>
      <c r="B70" s="401"/>
      <c r="C70" s="389"/>
      <c r="D70" s="289" t="s">
        <v>91</v>
      </c>
      <c r="E70" s="207">
        <f t="shared" si="22"/>
        <v>0</v>
      </c>
      <c r="F70" s="207">
        <v>0</v>
      </c>
      <c r="G70" s="207">
        <v>0</v>
      </c>
      <c r="H70" s="207">
        <v>0</v>
      </c>
      <c r="I70" s="207">
        <v>0</v>
      </c>
      <c r="J70" s="207">
        <f t="shared" si="26"/>
        <v>0</v>
      </c>
    </row>
    <row r="71" spans="1:12" s="210" customFormat="1" ht="21" customHeight="1" x14ac:dyDescent="0.25">
      <c r="A71" s="399"/>
      <c r="B71" s="401"/>
      <c r="C71" s="389"/>
      <c r="D71" s="289" t="s">
        <v>90</v>
      </c>
      <c r="E71" s="207">
        <f t="shared" si="22"/>
        <v>0</v>
      </c>
      <c r="F71" s="207">
        <v>0</v>
      </c>
      <c r="G71" s="207">
        <v>0</v>
      </c>
      <c r="H71" s="207">
        <v>0</v>
      </c>
      <c r="I71" s="207">
        <v>0</v>
      </c>
      <c r="J71" s="207">
        <f t="shared" si="26"/>
        <v>0</v>
      </c>
    </row>
    <row r="72" spans="1:12" s="210" customFormat="1" ht="17.25" customHeight="1" x14ac:dyDescent="0.25">
      <c r="A72" s="399"/>
      <c r="B72" s="401"/>
      <c r="C72" s="389"/>
      <c r="D72" s="289" t="s">
        <v>18</v>
      </c>
      <c r="E72" s="207">
        <f t="shared" si="22"/>
        <v>203417.27999999997</v>
      </c>
      <c r="F72" s="207">
        <v>0</v>
      </c>
      <c r="G72" s="207">
        <f>17772.855-16272.855</f>
        <v>1500</v>
      </c>
      <c r="H72" s="207">
        <v>33652.879999999997</v>
      </c>
      <c r="I72" s="207">
        <v>33652.879999999997</v>
      </c>
      <c r="J72" s="207">
        <f t="shared" si="26"/>
        <v>134611.51999999999</v>
      </c>
    </row>
    <row r="73" spans="1:12" s="209" customFormat="1" ht="21.75" customHeight="1" x14ac:dyDescent="0.25">
      <c r="A73" s="409" t="s">
        <v>122</v>
      </c>
      <c r="B73" s="400" t="s">
        <v>365</v>
      </c>
      <c r="C73" s="397" t="s">
        <v>335</v>
      </c>
      <c r="D73" s="211" t="s">
        <v>12</v>
      </c>
      <c r="E73" s="206">
        <f t="shared" si="22"/>
        <v>1881243.7142500002</v>
      </c>
      <c r="F73" s="206">
        <f>SUM(F74:F79)</f>
        <v>278247.79793</v>
      </c>
      <c r="G73" s="206">
        <f>SUM(G74:G79)</f>
        <v>241275.36808000001</v>
      </c>
      <c r="H73" s="206">
        <f>SUM(H74:H79)</f>
        <v>226952.75569000002</v>
      </c>
      <c r="I73" s="206">
        <f>SUM(I74:I79)</f>
        <v>226953.55851</v>
      </c>
      <c r="J73" s="206">
        <f t="shared" ref="J73" si="27">SUM(J74:J79)</f>
        <v>907814.23404000001</v>
      </c>
      <c r="K73" s="210"/>
      <c r="L73" s="210"/>
    </row>
    <row r="74" spans="1:12" s="210" customFormat="1" ht="17.25" customHeight="1" x14ac:dyDescent="0.25">
      <c r="A74" s="410"/>
      <c r="B74" s="401"/>
      <c r="C74" s="397"/>
      <c r="D74" s="289" t="s">
        <v>13</v>
      </c>
      <c r="E74" s="207">
        <f t="shared" si="22"/>
        <v>0</v>
      </c>
      <c r="F74" s="207">
        <f>F81+F88</f>
        <v>0</v>
      </c>
      <c r="G74" s="207">
        <f t="shared" ref="G74:I74" si="28">G81+G88</f>
        <v>0</v>
      </c>
      <c r="H74" s="207">
        <f t="shared" si="28"/>
        <v>0</v>
      </c>
      <c r="I74" s="207">
        <f t="shared" si="28"/>
        <v>0</v>
      </c>
      <c r="J74" s="207">
        <f>J81+J88+J95</f>
        <v>0</v>
      </c>
    </row>
    <row r="75" spans="1:12" s="210" customFormat="1" ht="16.5" customHeight="1" x14ac:dyDescent="0.25">
      <c r="A75" s="410"/>
      <c r="B75" s="401"/>
      <c r="C75" s="397"/>
      <c r="D75" s="289" t="s">
        <v>14</v>
      </c>
      <c r="E75" s="207">
        <f t="shared" si="22"/>
        <v>0</v>
      </c>
      <c r="F75" s="207">
        <f t="shared" ref="F75:F78" si="29">F82+F89</f>
        <v>0</v>
      </c>
      <c r="G75" s="207">
        <f t="shared" ref="G75:I79" si="30">G82+G89</f>
        <v>0</v>
      </c>
      <c r="H75" s="207">
        <f t="shared" si="30"/>
        <v>0</v>
      </c>
      <c r="I75" s="207">
        <f t="shared" si="30"/>
        <v>0</v>
      </c>
      <c r="J75" s="207">
        <f t="shared" ref="J75" si="31">J82+J89+J96</f>
        <v>0</v>
      </c>
    </row>
    <row r="76" spans="1:12" s="210" customFormat="1" ht="16.5" customHeight="1" x14ac:dyDescent="0.25">
      <c r="A76" s="410"/>
      <c r="B76" s="401"/>
      <c r="C76" s="397"/>
      <c r="D76" s="289" t="s">
        <v>15</v>
      </c>
      <c r="E76" s="207">
        <f>SUM(F76:J76)</f>
        <v>1230401.7142500002</v>
      </c>
      <c r="F76" s="207">
        <f t="shared" si="29"/>
        <v>277847.79793</v>
      </c>
      <c r="G76" s="207">
        <f t="shared" si="30"/>
        <v>240975.36808000001</v>
      </c>
      <c r="H76" s="207">
        <f>H83+H90</f>
        <v>118390.75569000001</v>
      </c>
      <c r="I76" s="207">
        <f t="shared" si="30"/>
        <v>118637.55851</v>
      </c>
      <c r="J76" s="207">
        <f>I76*4</f>
        <v>474550.23404000001</v>
      </c>
      <c r="L76" s="234"/>
    </row>
    <row r="77" spans="1:12" s="210" customFormat="1" ht="30.75" customHeight="1" x14ac:dyDescent="0.25">
      <c r="A77" s="410"/>
      <c r="B77" s="401"/>
      <c r="C77" s="397"/>
      <c r="D77" s="289" t="s">
        <v>91</v>
      </c>
      <c r="E77" s="207">
        <f t="shared" si="22"/>
        <v>0</v>
      </c>
      <c r="F77" s="207">
        <f t="shared" si="29"/>
        <v>0</v>
      </c>
      <c r="G77" s="207">
        <f t="shared" si="30"/>
        <v>0</v>
      </c>
      <c r="H77" s="207">
        <f t="shared" si="30"/>
        <v>0</v>
      </c>
      <c r="I77" s="207">
        <f t="shared" si="30"/>
        <v>0</v>
      </c>
      <c r="J77" s="207">
        <f t="shared" ref="J77:J78" si="32">I77*4</f>
        <v>0</v>
      </c>
    </row>
    <row r="78" spans="1:12" s="210" customFormat="1" ht="17.25" customHeight="1" x14ac:dyDescent="0.25">
      <c r="A78" s="410"/>
      <c r="B78" s="401"/>
      <c r="C78" s="397"/>
      <c r="D78" s="289" t="s">
        <v>90</v>
      </c>
      <c r="E78" s="207">
        <f t="shared" si="22"/>
        <v>0</v>
      </c>
      <c r="F78" s="207">
        <f t="shared" si="29"/>
        <v>0</v>
      </c>
      <c r="G78" s="207">
        <f t="shared" si="30"/>
        <v>0</v>
      </c>
      <c r="H78" s="207">
        <f t="shared" si="30"/>
        <v>0</v>
      </c>
      <c r="I78" s="207">
        <f t="shared" si="30"/>
        <v>0</v>
      </c>
      <c r="J78" s="207">
        <f t="shared" si="32"/>
        <v>0</v>
      </c>
    </row>
    <row r="79" spans="1:12" s="210" customFormat="1" ht="17.25" customHeight="1" x14ac:dyDescent="0.25">
      <c r="A79" s="410"/>
      <c r="B79" s="401"/>
      <c r="C79" s="397"/>
      <c r="D79" s="289" t="s">
        <v>18</v>
      </c>
      <c r="E79" s="207">
        <f t="shared" si="22"/>
        <v>650842</v>
      </c>
      <c r="F79" s="207">
        <f>F86+F93</f>
        <v>400</v>
      </c>
      <c r="G79" s="207">
        <f t="shared" si="30"/>
        <v>300</v>
      </c>
      <c r="H79" s="207">
        <f t="shared" si="30"/>
        <v>108562</v>
      </c>
      <c r="I79" s="207">
        <f t="shared" si="30"/>
        <v>108316</v>
      </c>
      <c r="J79" s="207">
        <f>I86*4</f>
        <v>433264</v>
      </c>
    </row>
    <row r="80" spans="1:12" s="210" customFormat="1" ht="21.75" customHeight="1" x14ac:dyDescent="0.25">
      <c r="A80" s="410"/>
      <c r="B80" s="401"/>
      <c r="C80" s="391" t="s">
        <v>8</v>
      </c>
      <c r="D80" s="211" t="s">
        <v>12</v>
      </c>
      <c r="E80" s="206">
        <f t="shared" si="22"/>
        <v>1870109.1804499999</v>
      </c>
      <c r="F80" s="206">
        <f>SUM(F81:F86)</f>
        <v>275905.11413</v>
      </c>
      <c r="G80" s="206">
        <f>SUM(G81:G86)</f>
        <v>239683.51808000001</v>
      </c>
      <c r="H80" s="206">
        <f>SUM(H81:H86)</f>
        <v>225752.75569000002</v>
      </c>
      <c r="I80" s="206">
        <f>SUM(I81:I86)</f>
        <v>225753.55851</v>
      </c>
      <c r="J80" s="206">
        <f t="shared" ref="J80" si="33">SUM(J81:J86)</f>
        <v>903014.23404000001</v>
      </c>
    </row>
    <row r="81" spans="1:12" s="210" customFormat="1" x14ac:dyDescent="0.25">
      <c r="A81" s="410"/>
      <c r="B81" s="401"/>
      <c r="C81" s="392"/>
      <c r="D81" s="289" t="s">
        <v>13</v>
      </c>
      <c r="E81" s="207">
        <f t="shared" si="22"/>
        <v>0</v>
      </c>
      <c r="F81" s="207">
        <v>0</v>
      </c>
      <c r="G81" s="207">
        <v>0</v>
      </c>
      <c r="H81" s="207">
        <v>0</v>
      </c>
      <c r="I81" s="207">
        <v>0</v>
      </c>
      <c r="J81" s="207">
        <v>0</v>
      </c>
    </row>
    <row r="82" spans="1:12" s="210" customFormat="1" x14ac:dyDescent="0.25">
      <c r="A82" s="410"/>
      <c r="B82" s="401"/>
      <c r="C82" s="392"/>
      <c r="D82" s="289" t="s">
        <v>14</v>
      </c>
      <c r="E82" s="207">
        <f t="shared" si="22"/>
        <v>0</v>
      </c>
      <c r="F82" s="207">
        <v>0</v>
      </c>
      <c r="G82" s="207">
        <v>0</v>
      </c>
      <c r="H82" s="207">
        <v>0</v>
      </c>
      <c r="I82" s="207">
        <v>0</v>
      </c>
      <c r="J82" s="207">
        <v>0</v>
      </c>
    </row>
    <row r="83" spans="1:12" s="210" customFormat="1" x14ac:dyDescent="0.25">
      <c r="A83" s="410"/>
      <c r="B83" s="401"/>
      <c r="C83" s="392"/>
      <c r="D83" s="289" t="s">
        <v>15</v>
      </c>
      <c r="E83" s="207">
        <f t="shared" si="22"/>
        <v>1219267.1804499999</v>
      </c>
      <c r="F83" s="207">
        <f>243788.45769-4049.1-11780.56394-1845.097-100+10375.56251+17709.23592+21597.36762+4059.7-4250.44867</f>
        <v>275505.11413</v>
      </c>
      <c r="G83" s="207">
        <v>239383.51808000001</v>
      </c>
      <c r="H83" s="207">
        <f>82.6+103419.80469+13688.351</f>
        <v>117190.75569000001</v>
      </c>
      <c r="I83" s="207">
        <f>82.6+103666.60751+13688.351</f>
        <v>117437.55851</v>
      </c>
      <c r="J83" s="207">
        <f>I83*4</f>
        <v>469750.23404000001</v>
      </c>
      <c r="L83" s="234"/>
    </row>
    <row r="84" spans="1:12" s="210" customFormat="1" ht="30" x14ac:dyDescent="0.25">
      <c r="A84" s="410"/>
      <c r="B84" s="401"/>
      <c r="C84" s="392"/>
      <c r="D84" s="289" t="s">
        <v>91</v>
      </c>
      <c r="E84" s="207">
        <f t="shared" si="22"/>
        <v>0</v>
      </c>
      <c r="F84" s="207">
        <v>0</v>
      </c>
      <c r="G84" s="207">
        <v>0</v>
      </c>
      <c r="H84" s="207">
        <v>0</v>
      </c>
      <c r="I84" s="207">
        <v>0</v>
      </c>
      <c r="J84" s="207">
        <v>0</v>
      </c>
    </row>
    <row r="85" spans="1:12" s="210" customFormat="1" x14ac:dyDescent="0.25">
      <c r="A85" s="410"/>
      <c r="B85" s="401"/>
      <c r="C85" s="392"/>
      <c r="D85" s="289" t="s">
        <v>90</v>
      </c>
      <c r="E85" s="207">
        <f t="shared" si="22"/>
        <v>0</v>
      </c>
      <c r="F85" s="207">
        <v>0</v>
      </c>
      <c r="G85" s="207">
        <v>0</v>
      </c>
      <c r="H85" s="207">
        <v>0</v>
      </c>
      <c r="I85" s="207">
        <v>0</v>
      </c>
      <c r="J85" s="207">
        <v>0</v>
      </c>
    </row>
    <row r="86" spans="1:12" s="210" customFormat="1" x14ac:dyDescent="0.25">
      <c r="A86" s="410"/>
      <c r="B86" s="401"/>
      <c r="C86" s="393"/>
      <c r="D86" s="289" t="s">
        <v>18</v>
      </c>
      <c r="E86" s="207">
        <f>SUM(F86:J86)</f>
        <v>650842</v>
      </c>
      <c r="F86" s="207">
        <f>781+3300-3300-381</f>
        <v>400</v>
      </c>
      <c r="G86" s="207">
        <f>89936-89636</f>
        <v>300</v>
      </c>
      <c r="H86" s="207">
        <v>108562</v>
      </c>
      <c r="I86" s="207">
        <v>108316</v>
      </c>
      <c r="J86" s="207">
        <f>I86*4</f>
        <v>433264</v>
      </c>
    </row>
    <row r="87" spans="1:12" s="209" customFormat="1" ht="15" customHeight="1" x14ac:dyDescent="0.25">
      <c r="A87" s="410"/>
      <c r="B87" s="401"/>
      <c r="C87" s="389" t="s">
        <v>329</v>
      </c>
      <c r="D87" s="211" t="s">
        <v>12</v>
      </c>
      <c r="E87" s="206">
        <f t="shared" si="22"/>
        <v>11134.533799999999</v>
      </c>
      <c r="F87" s="206">
        <f t="shared" ref="F87" si="34">SUM(F88:F93)</f>
        <v>2342.6837999999998</v>
      </c>
      <c r="G87" s="206">
        <f>SUM(G88:G93)</f>
        <v>1591.85</v>
      </c>
      <c r="H87" s="206">
        <f t="shared" ref="H87:J87" si="35">SUM(H88:H93)</f>
        <v>1200</v>
      </c>
      <c r="I87" s="206">
        <f t="shared" si="35"/>
        <v>1200</v>
      </c>
      <c r="J87" s="206">
        <f t="shared" si="35"/>
        <v>4800</v>
      </c>
      <c r="K87" s="210"/>
    </row>
    <row r="88" spans="1:12" s="210" customFormat="1" x14ac:dyDescent="0.25">
      <c r="A88" s="410"/>
      <c r="B88" s="401"/>
      <c r="C88" s="389"/>
      <c r="D88" s="289" t="s">
        <v>13</v>
      </c>
      <c r="E88" s="207">
        <f t="shared" si="22"/>
        <v>0</v>
      </c>
      <c r="F88" s="207">
        <v>0</v>
      </c>
      <c r="G88" s="207">
        <v>0</v>
      </c>
      <c r="H88" s="207">
        <v>0</v>
      </c>
      <c r="I88" s="207">
        <v>0</v>
      </c>
      <c r="J88" s="207">
        <v>0</v>
      </c>
    </row>
    <row r="89" spans="1:12" s="210" customFormat="1" x14ac:dyDescent="0.25">
      <c r="A89" s="410"/>
      <c r="B89" s="401"/>
      <c r="C89" s="389"/>
      <c r="D89" s="289" t="s">
        <v>14</v>
      </c>
      <c r="E89" s="207">
        <f t="shared" si="22"/>
        <v>0</v>
      </c>
      <c r="F89" s="207">
        <v>0</v>
      </c>
      <c r="G89" s="207">
        <v>0</v>
      </c>
      <c r="H89" s="207">
        <v>0</v>
      </c>
      <c r="I89" s="207">
        <v>0</v>
      </c>
      <c r="J89" s="207">
        <v>0</v>
      </c>
    </row>
    <row r="90" spans="1:12" s="210" customFormat="1" x14ac:dyDescent="0.25">
      <c r="A90" s="410"/>
      <c r="B90" s="401"/>
      <c r="C90" s="389"/>
      <c r="D90" s="289" t="s">
        <v>15</v>
      </c>
      <c r="E90" s="207">
        <f t="shared" si="22"/>
        <v>11134.533799999999</v>
      </c>
      <c r="F90" s="207">
        <f>1000+221.4238+1121.26</f>
        <v>2342.6837999999998</v>
      </c>
      <c r="G90" s="207">
        <f>1200+245+60.5+86.35</f>
        <v>1591.85</v>
      </c>
      <c r="H90" s="207">
        <v>1200</v>
      </c>
      <c r="I90" s="207">
        <v>1200</v>
      </c>
      <c r="J90" s="207">
        <f>I90*4</f>
        <v>4800</v>
      </c>
      <c r="L90" s="234"/>
    </row>
    <row r="91" spans="1:12" s="210" customFormat="1" ht="30" x14ac:dyDescent="0.25">
      <c r="A91" s="410"/>
      <c r="B91" s="401"/>
      <c r="C91" s="389"/>
      <c r="D91" s="289" t="s">
        <v>91</v>
      </c>
      <c r="E91" s="207">
        <f t="shared" si="22"/>
        <v>0</v>
      </c>
      <c r="F91" s="207">
        <v>0</v>
      </c>
      <c r="G91" s="207">
        <v>0</v>
      </c>
      <c r="H91" s="207">
        <v>0</v>
      </c>
      <c r="I91" s="207">
        <v>0</v>
      </c>
      <c r="J91" s="207">
        <v>0</v>
      </c>
    </row>
    <row r="92" spans="1:12" s="210" customFormat="1" x14ac:dyDescent="0.25">
      <c r="A92" s="410"/>
      <c r="B92" s="401"/>
      <c r="C92" s="389"/>
      <c r="D92" s="289" t="s">
        <v>90</v>
      </c>
      <c r="E92" s="207">
        <f t="shared" si="22"/>
        <v>0</v>
      </c>
      <c r="F92" s="207">
        <v>0</v>
      </c>
      <c r="G92" s="207">
        <v>0</v>
      </c>
      <c r="H92" s="207">
        <v>0</v>
      </c>
      <c r="I92" s="207">
        <v>0</v>
      </c>
      <c r="J92" s="207">
        <v>0</v>
      </c>
    </row>
    <row r="93" spans="1:12" s="210" customFormat="1" x14ac:dyDescent="0.25">
      <c r="A93" s="410"/>
      <c r="B93" s="401"/>
      <c r="C93" s="389"/>
      <c r="D93" s="289" t="s">
        <v>18</v>
      </c>
      <c r="E93" s="207">
        <f t="shared" si="22"/>
        <v>0</v>
      </c>
      <c r="F93" s="207">
        <f>3234.174-3234.174</f>
        <v>0</v>
      </c>
      <c r="G93" s="207">
        <v>0</v>
      </c>
      <c r="H93" s="207">
        <v>0</v>
      </c>
      <c r="I93" s="207">
        <f>H93</f>
        <v>0</v>
      </c>
      <c r="J93" s="207">
        <f>I93*4</f>
        <v>0</v>
      </c>
    </row>
    <row r="94" spans="1:12" s="209" customFormat="1" ht="16.5" hidden="1" customHeight="1" x14ac:dyDescent="0.25">
      <c r="A94" s="410"/>
      <c r="B94" s="401"/>
      <c r="C94" s="405" t="s">
        <v>307</v>
      </c>
      <c r="D94" s="211" t="s">
        <v>12</v>
      </c>
      <c r="E94" s="206">
        <f>SUM(F94:J94)</f>
        <v>0</v>
      </c>
      <c r="F94" s="206">
        <f t="shared" ref="F94" si="36">SUM(F95:F100)</f>
        <v>0</v>
      </c>
      <c r="G94" s="206">
        <f>SUM(G95:G100)</f>
        <v>0</v>
      </c>
      <c r="H94" s="206">
        <f t="shared" ref="H94" si="37">SUM(H95:H100)</f>
        <v>0</v>
      </c>
      <c r="I94" s="206">
        <f>SUM(I95:I100)</f>
        <v>0</v>
      </c>
      <c r="J94" s="206">
        <f t="shared" ref="J94" si="38">SUM(J95:J100)</f>
        <v>0</v>
      </c>
    </row>
    <row r="95" spans="1:12" s="210" customFormat="1" ht="15" hidden="1" customHeight="1" x14ac:dyDescent="0.25">
      <c r="A95" s="410"/>
      <c r="B95" s="401"/>
      <c r="C95" s="406"/>
      <c r="D95" s="289" t="s">
        <v>13</v>
      </c>
      <c r="E95" s="207">
        <f t="shared" ref="E95:E142" si="39">SUM(F95:J95)</f>
        <v>0</v>
      </c>
      <c r="F95" s="207">
        <v>0</v>
      </c>
      <c r="G95" s="207">
        <v>0</v>
      </c>
      <c r="H95" s="207">
        <v>0</v>
      </c>
      <c r="I95" s="207">
        <v>0</v>
      </c>
      <c r="J95" s="207">
        <v>0</v>
      </c>
    </row>
    <row r="96" spans="1:12" s="210" customFormat="1" ht="15" hidden="1" customHeight="1" x14ac:dyDescent="0.25">
      <c r="A96" s="410"/>
      <c r="B96" s="401"/>
      <c r="C96" s="406"/>
      <c r="D96" s="289" t="s">
        <v>14</v>
      </c>
      <c r="E96" s="207">
        <f t="shared" si="39"/>
        <v>0</v>
      </c>
      <c r="F96" s="207">
        <v>0</v>
      </c>
      <c r="G96" s="207">
        <v>0</v>
      </c>
      <c r="H96" s="207">
        <v>0</v>
      </c>
      <c r="I96" s="207">
        <v>0</v>
      </c>
      <c r="J96" s="207">
        <v>0</v>
      </c>
    </row>
    <row r="97" spans="1:12" s="210" customFormat="1" ht="15" hidden="1" customHeight="1" x14ac:dyDescent="0.25">
      <c r="A97" s="410"/>
      <c r="B97" s="401"/>
      <c r="C97" s="406"/>
      <c r="D97" s="289" t="s">
        <v>15</v>
      </c>
      <c r="E97" s="207">
        <f t="shared" si="39"/>
        <v>0</v>
      </c>
      <c r="F97" s="207">
        <v>0</v>
      </c>
      <c r="G97" s="207">
        <v>0</v>
      </c>
      <c r="H97" s="207">
        <v>0</v>
      </c>
      <c r="I97" s="207">
        <f>H97</f>
        <v>0</v>
      </c>
      <c r="J97" s="207">
        <f>I97*4</f>
        <v>0</v>
      </c>
    </row>
    <row r="98" spans="1:12" s="210" customFormat="1" ht="30" hidden="1" customHeight="1" x14ac:dyDescent="0.25">
      <c r="A98" s="410"/>
      <c r="B98" s="401"/>
      <c r="C98" s="406"/>
      <c r="D98" s="289" t="s">
        <v>91</v>
      </c>
      <c r="E98" s="207">
        <f t="shared" si="39"/>
        <v>0</v>
      </c>
      <c r="F98" s="207">
        <v>0</v>
      </c>
      <c r="G98" s="207">
        <v>0</v>
      </c>
      <c r="H98" s="207">
        <v>0</v>
      </c>
      <c r="I98" s="207">
        <v>0</v>
      </c>
      <c r="J98" s="207">
        <v>0</v>
      </c>
    </row>
    <row r="99" spans="1:12" s="210" customFormat="1" ht="15" hidden="1" customHeight="1" x14ac:dyDescent="0.25">
      <c r="A99" s="410"/>
      <c r="B99" s="401"/>
      <c r="C99" s="406"/>
      <c r="D99" s="289" t="s">
        <v>90</v>
      </c>
      <c r="E99" s="207">
        <f t="shared" si="39"/>
        <v>0</v>
      </c>
      <c r="F99" s="207">
        <v>0</v>
      </c>
      <c r="G99" s="207">
        <v>0</v>
      </c>
      <c r="H99" s="207">
        <v>0</v>
      </c>
      <c r="I99" s="207">
        <v>0</v>
      </c>
      <c r="J99" s="207">
        <v>0</v>
      </c>
    </row>
    <row r="100" spans="1:12" s="210" customFormat="1" ht="15" hidden="1" customHeight="1" x14ac:dyDescent="0.25">
      <c r="A100" s="411"/>
      <c r="B100" s="402"/>
      <c r="C100" s="407"/>
      <c r="D100" s="289" t="s">
        <v>18</v>
      </c>
      <c r="E100" s="207">
        <f t="shared" si="39"/>
        <v>0</v>
      </c>
      <c r="F100" s="207">
        <v>0</v>
      </c>
      <c r="G100" s="207">
        <v>0</v>
      </c>
      <c r="H100" s="207">
        <v>0</v>
      </c>
      <c r="I100" s="207">
        <v>0</v>
      </c>
      <c r="J100" s="207">
        <v>0</v>
      </c>
    </row>
    <row r="101" spans="1:12" s="210" customFormat="1" x14ac:dyDescent="0.25">
      <c r="A101" s="386" t="s">
        <v>123</v>
      </c>
      <c r="B101" s="408" t="s">
        <v>372</v>
      </c>
      <c r="C101" s="389" t="s">
        <v>8</v>
      </c>
      <c r="D101" s="211" t="s">
        <v>12</v>
      </c>
      <c r="E101" s="206">
        <f t="shared" si="39"/>
        <v>0</v>
      </c>
      <c r="F101" s="206">
        <f t="shared" ref="F101" si="40">SUM(F102:F107)</f>
        <v>0</v>
      </c>
      <c r="G101" s="206">
        <f>SUM(G102:G107)</f>
        <v>0</v>
      </c>
      <c r="H101" s="206">
        <f t="shared" ref="H101:J101" si="41">SUM(H102:H107)</f>
        <v>0</v>
      </c>
      <c r="I101" s="206">
        <f t="shared" si="41"/>
        <v>0</v>
      </c>
      <c r="J101" s="206">
        <f t="shared" si="41"/>
        <v>0</v>
      </c>
    </row>
    <row r="102" spans="1:12" s="210" customFormat="1" ht="21.75" customHeight="1" x14ac:dyDescent="0.25">
      <c r="A102" s="386"/>
      <c r="B102" s="408"/>
      <c r="C102" s="389"/>
      <c r="D102" s="289" t="s">
        <v>13</v>
      </c>
      <c r="E102" s="207">
        <f t="shared" si="39"/>
        <v>0</v>
      </c>
      <c r="F102" s="207">
        <v>0</v>
      </c>
      <c r="G102" s="207">
        <v>0</v>
      </c>
      <c r="H102" s="207">
        <v>0</v>
      </c>
      <c r="I102" s="207">
        <v>0</v>
      </c>
      <c r="J102" s="207">
        <v>0</v>
      </c>
    </row>
    <row r="103" spans="1:12" s="210" customFormat="1" ht="26.25" customHeight="1" x14ac:dyDescent="0.25">
      <c r="A103" s="386"/>
      <c r="B103" s="408"/>
      <c r="C103" s="389"/>
      <c r="D103" s="289" t="s">
        <v>14</v>
      </c>
      <c r="E103" s="207">
        <f t="shared" si="39"/>
        <v>0</v>
      </c>
      <c r="F103" s="207">
        <v>0</v>
      </c>
      <c r="G103" s="207">
        <v>0</v>
      </c>
      <c r="H103" s="207">
        <v>0</v>
      </c>
      <c r="I103" s="207">
        <v>0</v>
      </c>
      <c r="J103" s="207">
        <v>0</v>
      </c>
    </row>
    <row r="104" spans="1:12" s="210" customFormat="1" ht="22.5" customHeight="1" x14ac:dyDescent="0.25">
      <c r="A104" s="386"/>
      <c r="B104" s="408"/>
      <c r="C104" s="389"/>
      <c r="D104" s="289" t="s">
        <v>15</v>
      </c>
      <c r="E104" s="207">
        <f t="shared" si="39"/>
        <v>0</v>
      </c>
      <c r="F104" s="207">
        <f>1837-1837</f>
        <v>0</v>
      </c>
      <c r="G104" s="207">
        <v>0</v>
      </c>
      <c r="H104" s="207">
        <f>G104</f>
        <v>0</v>
      </c>
      <c r="I104" s="207">
        <f>H104</f>
        <v>0</v>
      </c>
      <c r="J104" s="207">
        <f>I104*4</f>
        <v>0</v>
      </c>
    </row>
    <row r="105" spans="1:12" s="210" customFormat="1" ht="28.5" customHeight="1" x14ac:dyDescent="0.25">
      <c r="A105" s="386"/>
      <c r="B105" s="408"/>
      <c r="C105" s="389"/>
      <c r="D105" s="289" t="s">
        <v>91</v>
      </c>
      <c r="E105" s="207">
        <f t="shared" si="39"/>
        <v>0</v>
      </c>
      <c r="F105" s="207">
        <v>0</v>
      </c>
      <c r="G105" s="207">
        <v>0</v>
      </c>
      <c r="H105" s="207">
        <v>0</v>
      </c>
      <c r="I105" s="207">
        <v>0</v>
      </c>
      <c r="J105" s="207">
        <f t="shared" ref="J105:J107" si="42">I105*4</f>
        <v>0</v>
      </c>
    </row>
    <row r="106" spans="1:12" s="210" customFormat="1" ht="20.25" customHeight="1" x14ac:dyDescent="0.25">
      <c r="A106" s="386"/>
      <c r="B106" s="408"/>
      <c r="C106" s="389"/>
      <c r="D106" s="289" t="s">
        <v>90</v>
      </c>
      <c r="E106" s="207">
        <f t="shared" si="39"/>
        <v>0</v>
      </c>
      <c r="F106" s="207">
        <v>0</v>
      </c>
      <c r="G106" s="207">
        <v>0</v>
      </c>
      <c r="H106" s="207">
        <v>0</v>
      </c>
      <c r="I106" s="207">
        <v>0</v>
      </c>
      <c r="J106" s="207">
        <f t="shared" si="42"/>
        <v>0</v>
      </c>
    </row>
    <row r="107" spans="1:12" s="210" customFormat="1" ht="29.25" customHeight="1" x14ac:dyDescent="0.25">
      <c r="A107" s="386"/>
      <c r="B107" s="408"/>
      <c r="C107" s="389"/>
      <c r="D107" s="289" t="s">
        <v>18</v>
      </c>
      <c r="E107" s="207">
        <f t="shared" si="39"/>
        <v>0</v>
      </c>
      <c r="F107" s="207">
        <v>0</v>
      </c>
      <c r="G107" s="207">
        <v>0</v>
      </c>
      <c r="H107" s="207">
        <v>0</v>
      </c>
      <c r="I107" s="207">
        <v>0</v>
      </c>
      <c r="J107" s="207">
        <f t="shared" si="42"/>
        <v>0</v>
      </c>
    </row>
    <row r="108" spans="1:12" s="210" customFormat="1" ht="15" customHeight="1" x14ac:dyDescent="0.25">
      <c r="A108" s="391" t="s">
        <v>301</v>
      </c>
      <c r="B108" s="394" t="s">
        <v>366</v>
      </c>
      <c r="C108" s="397" t="s">
        <v>125</v>
      </c>
      <c r="D108" s="211" t="s">
        <v>12</v>
      </c>
      <c r="E108" s="206">
        <f t="shared" si="39"/>
        <v>458584.77554</v>
      </c>
      <c r="F108" s="206">
        <f>SUM(F109:F114)</f>
        <v>51600.968910000003</v>
      </c>
      <c r="G108" s="206">
        <f>SUM(G109:G114)</f>
        <v>55093.459130000003</v>
      </c>
      <c r="H108" s="206">
        <f t="shared" ref="H108:J108" si="43">SUM(H109:H114)</f>
        <v>59614.716249999998</v>
      </c>
      <c r="I108" s="206">
        <f t="shared" si="43"/>
        <v>59013.446250000001</v>
      </c>
      <c r="J108" s="206">
        <f t="shared" si="43"/>
        <v>233262.185</v>
      </c>
      <c r="K108" s="267"/>
    </row>
    <row r="109" spans="1:12" s="212" customFormat="1" x14ac:dyDescent="0.25">
      <c r="A109" s="392"/>
      <c r="B109" s="395"/>
      <c r="C109" s="397"/>
      <c r="D109" s="289" t="s">
        <v>13</v>
      </c>
      <c r="E109" s="207">
        <f t="shared" si="39"/>
        <v>260.28970000000004</v>
      </c>
      <c r="F109" s="207">
        <v>74.699600000000004</v>
      </c>
      <c r="G109" s="207">
        <f>68.5-0.0099</f>
        <v>68.490099999999998</v>
      </c>
      <c r="H109" s="207">
        <v>65.5</v>
      </c>
      <c r="I109" s="207">
        <v>51.6</v>
      </c>
      <c r="J109" s="207">
        <v>0</v>
      </c>
      <c r="K109" s="267"/>
    </row>
    <row r="110" spans="1:12" s="212" customFormat="1" x14ac:dyDescent="0.25">
      <c r="A110" s="392"/>
      <c r="B110" s="395"/>
      <c r="C110" s="397"/>
      <c r="D110" s="289" t="s">
        <v>14</v>
      </c>
      <c r="E110" s="207">
        <f t="shared" si="39"/>
        <v>3777.5102999999999</v>
      </c>
      <c r="F110" s="207">
        <v>649.90039999999999</v>
      </c>
      <c r="G110" s="207">
        <f>1284.2+190.25-106.55+0.0099</f>
        <v>1367.9099000000001</v>
      </c>
      <c r="H110" s="207">
        <f>1026.6+190.375-103.575</f>
        <v>1113.3999999999999</v>
      </c>
      <c r="I110" s="207">
        <f>541.6+195.375-90.675</f>
        <v>646.30000000000007</v>
      </c>
      <c r="J110" s="207">
        <v>0</v>
      </c>
      <c r="K110" s="267"/>
    </row>
    <row r="111" spans="1:12" s="210" customFormat="1" x14ac:dyDescent="0.25">
      <c r="A111" s="392"/>
      <c r="B111" s="395"/>
      <c r="C111" s="397"/>
      <c r="D111" s="289" t="s">
        <v>15</v>
      </c>
      <c r="E111" s="207">
        <f>SUM(F111:J111)</f>
        <v>293024.27554</v>
      </c>
      <c r="F111" s="207">
        <f>43441.50136-315.07718-200+2855.55749-440.54436+6739.69-996.4-288.3584</f>
        <v>50796.368910000005</v>
      </c>
      <c r="G111" s="207">
        <f>321.05+39201.25139+49+1019.099+3469.55+6458.74348+359.2+656.2928+824.95904+1269.91342-62</f>
        <v>53567.059130000001</v>
      </c>
      <c r="H111" s="207">
        <f>31207.79125+256.65+42+38.075</f>
        <v>31544.516250000001</v>
      </c>
      <c r="I111" s="207">
        <f>31206.79125+135.4+42+39.075</f>
        <v>31423.266250000001</v>
      </c>
      <c r="J111" s="207">
        <f>I111*4</f>
        <v>125693.065</v>
      </c>
      <c r="K111" s="267"/>
      <c r="L111" s="234"/>
    </row>
    <row r="112" spans="1:12" s="210" customFormat="1" ht="30" x14ac:dyDescent="0.25">
      <c r="A112" s="392"/>
      <c r="B112" s="395"/>
      <c r="C112" s="397"/>
      <c r="D112" s="289" t="s">
        <v>91</v>
      </c>
      <c r="E112" s="207">
        <f t="shared" si="39"/>
        <v>0</v>
      </c>
      <c r="F112" s="207">
        <v>0</v>
      </c>
      <c r="G112" s="207">
        <v>0</v>
      </c>
      <c r="H112" s="207">
        <v>0</v>
      </c>
      <c r="I112" s="207">
        <v>0</v>
      </c>
      <c r="J112" s="207">
        <f t="shared" ref="J112:J114" si="44">I112*4</f>
        <v>0</v>
      </c>
      <c r="K112" s="267"/>
    </row>
    <row r="113" spans="1:12" s="210" customFormat="1" x14ac:dyDescent="0.25">
      <c r="A113" s="392"/>
      <c r="B113" s="395"/>
      <c r="C113" s="397"/>
      <c r="D113" s="289" t="s">
        <v>90</v>
      </c>
      <c r="E113" s="207">
        <f t="shared" si="39"/>
        <v>0</v>
      </c>
      <c r="F113" s="207">
        <v>0</v>
      </c>
      <c r="G113" s="207">
        <v>0</v>
      </c>
      <c r="H113" s="207">
        <v>0</v>
      </c>
      <c r="I113" s="207">
        <v>0</v>
      </c>
      <c r="J113" s="207">
        <f t="shared" si="44"/>
        <v>0</v>
      </c>
    </row>
    <row r="114" spans="1:12" s="210" customFormat="1" x14ac:dyDescent="0.25">
      <c r="A114" s="393"/>
      <c r="B114" s="396"/>
      <c r="C114" s="397"/>
      <c r="D114" s="289" t="s">
        <v>18</v>
      </c>
      <c r="E114" s="207">
        <f t="shared" si="39"/>
        <v>161522.70000000001</v>
      </c>
      <c r="F114" s="207">
        <f>10124.87201+3577.23144+80-5799.69-7982.41345+80</f>
        <v>79.999999999999091</v>
      </c>
      <c r="G114" s="207">
        <f>18891-18801</f>
        <v>90</v>
      </c>
      <c r="H114" s="207">
        <v>26891.3</v>
      </c>
      <c r="I114" s="207">
        <v>26892.28</v>
      </c>
      <c r="J114" s="207">
        <f t="shared" si="44"/>
        <v>107569.12</v>
      </c>
    </row>
    <row r="115" spans="1:12" s="210" customFormat="1" x14ac:dyDescent="0.25">
      <c r="A115" s="403" t="s">
        <v>302</v>
      </c>
      <c r="B115" s="387" t="s">
        <v>367</v>
      </c>
      <c r="C115" s="389" t="s">
        <v>8</v>
      </c>
      <c r="D115" s="211" t="s">
        <v>12</v>
      </c>
      <c r="E115" s="206">
        <f t="shared" si="39"/>
        <v>3788.556</v>
      </c>
      <c r="F115" s="206">
        <f t="shared" ref="F115" si="45">SUM(F116:F121)</f>
        <v>264.05600000000004</v>
      </c>
      <c r="G115" s="206">
        <f t="shared" ref="G115:J115" si="46">SUM(G116:G121)</f>
        <v>461.5</v>
      </c>
      <c r="H115" s="206">
        <f t="shared" si="46"/>
        <v>510.5</v>
      </c>
      <c r="I115" s="206">
        <f t="shared" si="46"/>
        <v>510.5</v>
      </c>
      <c r="J115" s="206">
        <f t="shared" si="46"/>
        <v>2042</v>
      </c>
      <c r="K115" s="234"/>
      <c r="L115" s="234"/>
    </row>
    <row r="116" spans="1:12" s="210" customFormat="1" x14ac:dyDescent="0.25">
      <c r="A116" s="386"/>
      <c r="B116" s="387"/>
      <c r="C116" s="389"/>
      <c r="D116" s="289" t="s">
        <v>13</v>
      </c>
      <c r="E116" s="207">
        <f t="shared" si="39"/>
        <v>0</v>
      </c>
      <c r="F116" s="207">
        <v>0</v>
      </c>
      <c r="G116" s="207">
        <v>0</v>
      </c>
      <c r="H116" s="207">
        <v>0</v>
      </c>
      <c r="I116" s="207">
        <v>0</v>
      </c>
      <c r="J116" s="207">
        <f>I116*4</f>
        <v>0</v>
      </c>
    </row>
    <row r="117" spans="1:12" s="210" customFormat="1" x14ac:dyDescent="0.25">
      <c r="A117" s="386"/>
      <c r="B117" s="387"/>
      <c r="C117" s="389"/>
      <c r="D117" s="289" t="s">
        <v>14</v>
      </c>
      <c r="E117" s="207">
        <f t="shared" si="39"/>
        <v>0</v>
      </c>
      <c r="F117" s="207">
        <v>0</v>
      </c>
      <c r="G117" s="207">
        <v>0</v>
      </c>
      <c r="H117" s="207">
        <v>0</v>
      </c>
      <c r="I117" s="207">
        <v>0</v>
      </c>
      <c r="J117" s="207">
        <f t="shared" ref="J117:J121" si="47">I117*4</f>
        <v>0</v>
      </c>
    </row>
    <row r="118" spans="1:12" s="210" customFormat="1" x14ac:dyDescent="0.25">
      <c r="A118" s="386"/>
      <c r="B118" s="387"/>
      <c r="C118" s="389"/>
      <c r="D118" s="289" t="s">
        <v>15</v>
      </c>
      <c r="E118" s="207">
        <f t="shared" si="39"/>
        <v>3788.556</v>
      </c>
      <c r="F118" s="207">
        <f>446.177-182.121</f>
        <v>264.05600000000004</v>
      </c>
      <c r="G118" s="207">
        <f>510.5-49</f>
        <v>461.5</v>
      </c>
      <c r="H118" s="207">
        <v>510.5</v>
      </c>
      <c r="I118" s="207">
        <v>510.5</v>
      </c>
      <c r="J118" s="207">
        <f t="shared" si="47"/>
        <v>2042</v>
      </c>
    </row>
    <row r="119" spans="1:12" s="210" customFormat="1" ht="30" x14ac:dyDescent="0.25">
      <c r="A119" s="386"/>
      <c r="B119" s="387"/>
      <c r="C119" s="389"/>
      <c r="D119" s="289" t="s">
        <v>91</v>
      </c>
      <c r="E119" s="207">
        <f t="shared" si="39"/>
        <v>0</v>
      </c>
      <c r="F119" s="207">
        <v>0</v>
      </c>
      <c r="G119" s="207">
        <v>0</v>
      </c>
      <c r="H119" s="207">
        <v>0</v>
      </c>
      <c r="I119" s="207">
        <v>0</v>
      </c>
      <c r="J119" s="207">
        <f t="shared" si="47"/>
        <v>0</v>
      </c>
    </row>
    <row r="120" spans="1:12" s="210" customFormat="1" x14ac:dyDescent="0.25">
      <c r="A120" s="386"/>
      <c r="B120" s="387"/>
      <c r="C120" s="389"/>
      <c r="D120" s="289" t="s">
        <v>90</v>
      </c>
      <c r="E120" s="207">
        <f t="shared" si="39"/>
        <v>0</v>
      </c>
      <c r="F120" s="207">
        <v>0</v>
      </c>
      <c r="G120" s="207">
        <v>0</v>
      </c>
      <c r="H120" s="207">
        <v>0</v>
      </c>
      <c r="I120" s="207">
        <v>0</v>
      </c>
      <c r="J120" s="207">
        <f t="shared" si="47"/>
        <v>0</v>
      </c>
    </row>
    <row r="121" spans="1:12" s="210" customFormat="1" x14ac:dyDescent="0.25">
      <c r="A121" s="386"/>
      <c r="B121" s="387"/>
      <c r="C121" s="389"/>
      <c r="D121" s="289" t="s">
        <v>18</v>
      </c>
      <c r="E121" s="207">
        <f t="shared" si="39"/>
        <v>0</v>
      </c>
      <c r="F121" s="207">
        <f>6209.39951+3157.27749-446.177-8920.5</f>
        <v>0</v>
      </c>
      <c r="G121" s="207">
        <v>0</v>
      </c>
      <c r="H121" s="207">
        <v>0</v>
      </c>
      <c r="I121" s="207">
        <v>0</v>
      </c>
      <c r="J121" s="207">
        <f t="shared" si="47"/>
        <v>0</v>
      </c>
    </row>
    <row r="122" spans="1:12" s="210" customFormat="1" hidden="1" x14ac:dyDescent="0.25">
      <c r="A122" s="398"/>
      <c r="B122" s="405"/>
      <c r="C122" s="389" t="s">
        <v>290</v>
      </c>
      <c r="D122" s="289" t="s">
        <v>12</v>
      </c>
      <c r="E122" s="207">
        <f t="shared" si="39"/>
        <v>0</v>
      </c>
      <c r="F122" s="207">
        <f t="shared" ref="F122" si="48">SUM(F123:F128)</f>
        <v>0</v>
      </c>
      <c r="G122" s="207">
        <f>SUM(G123:G128)</f>
        <v>0</v>
      </c>
      <c r="H122" s="207">
        <f t="shared" ref="H122:J122" si="49">SUM(H123:H128)</f>
        <v>0</v>
      </c>
      <c r="I122" s="207">
        <f t="shared" si="49"/>
        <v>0</v>
      </c>
      <c r="J122" s="207">
        <f t="shared" si="49"/>
        <v>0</v>
      </c>
    </row>
    <row r="123" spans="1:12" s="210" customFormat="1" hidden="1" x14ac:dyDescent="0.25">
      <c r="A123" s="399"/>
      <c r="B123" s="406"/>
      <c r="C123" s="389"/>
      <c r="D123" s="289" t="s">
        <v>13</v>
      </c>
      <c r="E123" s="207">
        <f t="shared" si="39"/>
        <v>0</v>
      </c>
      <c r="F123" s="207"/>
      <c r="G123" s="207"/>
      <c r="H123" s="207"/>
      <c r="I123" s="207"/>
      <c r="J123" s="207"/>
    </row>
    <row r="124" spans="1:12" s="210" customFormat="1" hidden="1" x14ac:dyDescent="0.25">
      <c r="A124" s="399"/>
      <c r="B124" s="406"/>
      <c r="C124" s="389"/>
      <c r="D124" s="289" t="s">
        <v>14</v>
      </c>
      <c r="E124" s="207">
        <f t="shared" si="39"/>
        <v>0</v>
      </c>
      <c r="F124" s="207"/>
      <c r="G124" s="207"/>
      <c r="H124" s="207"/>
      <c r="I124" s="207"/>
      <c r="J124" s="207"/>
    </row>
    <row r="125" spans="1:12" s="210" customFormat="1" hidden="1" x14ac:dyDescent="0.25">
      <c r="A125" s="399"/>
      <c r="B125" s="406"/>
      <c r="C125" s="389"/>
      <c r="D125" s="289" t="s">
        <v>15</v>
      </c>
      <c r="E125" s="207">
        <f t="shared" si="39"/>
        <v>0</v>
      </c>
      <c r="F125" s="227"/>
      <c r="G125" s="227"/>
      <c r="H125" s="207"/>
      <c r="I125" s="207"/>
      <c r="J125" s="207"/>
    </row>
    <row r="126" spans="1:12" s="210" customFormat="1" ht="30" hidden="1" x14ac:dyDescent="0.25">
      <c r="A126" s="399"/>
      <c r="B126" s="406"/>
      <c r="C126" s="389"/>
      <c r="D126" s="289" t="s">
        <v>91</v>
      </c>
      <c r="E126" s="207">
        <f t="shared" si="39"/>
        <v>0</v>
      </c>
      <c r="F126" s="207"/>
      <c r="G126" s="207"/>
      <c r="H126" s="207"/>
      <c r="I126" s="207"/>
      <c r="J126" s="207"/>
    </row>
    <row r="127" spans="1:12" s="210" customFormat="1" hidden="1" x14ac:dyDescent="0.25">
      <c r="A127" s="399"/>
      <c r="B127" s="406"/>
      <c r="C127" s="389"/>
      <c r="D127" s="289" t="s">
        <v>90</v>
      </c>
      <c r="E127" s="207">
        <f t="shared" si="39"/>
        <v>0</v>
      </c>
      <c r="F127" s="207"/>
      <c r="G127" s="207"/>
      <c r="H127" s="207"/>
      <c r="I127" s="207"/>
      <c r="J127" s="207"/>
    </row>
    <row r="128" spans="1:12" s="210" customFormat="1" hidden="1" x14ac:dyDescent="0.25">
      <c r="A128" s="404"/>
      <c r="B128" s="407"/>
      <c r="C128" s="389"/>
      <c r="D128" s="289" t="s">
        <v>18</v>
      </c>
      <c r="E128" s="207">
        <f t="shared" si="39"/>
        <v>0</v>
      </c>
      <c r="F128" s="227"/>
      <c r="G128" s="227"/>
      <c r="H128" s="207"/>
      <c r="I128" s="207"/>
      <c r="J128" s="207"/>
    </row>
    <row r="129" spans="1:12" s="210" customFormat="1" x14ac:dyDescent="0.25">
      <c r="A129" s="386" t="s">
        <v>303</v>
      </c>
      <c r="B129" s="387" t="s">
        <v>368</v>
      </c>
      <c r="C129" s="389" t="s">
        <v>125</v>
      </c>
      <c r="D129" s="211" t="s">
        <v>12</v>
      </c>
      <c r="E129" s="206">
        <f t="shared" si="39"/>
        <v>0</v>
      </c>
      <c r="F129" s="206">
        <f t="shared" ref="F129" si="50">SUM(F130:F135)</f>
        <v>0</v>
      </c>
      <c r="G129" s="206">
        <f>SUM(G130:G135)</f>
        <v>0</v>
      </c>
      <c r="H129" s="206">
        <f t="shared" ref="H129:J129" si="51">SUM(H130:H135)</f>
        <v>0</v>
      </c>
      <c r="I129" s="206">
        <f t="shared" si="51"/>
        <v>0</v>
      </c>
      <c r="J129" s="206">
        <f t="shared" si="51"/>
        <v>0</v>
      </c>
    </row>
    <row r="130" spans="1:12" s="210" customFormat="1" x14ac:dyDescent="0.25">
      <c r="A130" s="386"/>
      <c r="B130" s="387"/>
      <c r="C130" s="389"/>
      <c r="D130" s="289" t="s">
        <v>13</v>
      </c>
      <c r="E130" s="207">
        <f t="shared" si="39"/>
        <v>0</v>
      </c>
      <c r="F130" s="207">
        <v>0</v>
      </c>
      <c r="G130" s="207">
        <v>0</v>
      </c>
      <c r="H130" s="207">
        <v>0</v>
      </c>
      <c r="I130" s="207">
        <v>0</v>
      </c>
      <c r="J130" s="207">
        <v>0</v>
      </c>
    </row>
    <row r="131" spans="1:12" s="210" customFormat="1" x14ac:dyDescent="0.25">
      <c r="A131" s="386"/>
      <c r="B131" s="387"/>
      <c r="C131" s="389"/>
      <c r="D131" s="289" t="s">
        <v>14</v>
      </c>
      <c r="E131" s="207">
        <f t="shared" si="39"/>
        <v>0</v>
      </c>
      <c r="F131" s="207">
        <v>0</v>
      </c>
      <c r="G131" s="207">
        <v>0</v>
      </c>
      <c r="H131" s="207">
        <v>0</v>
      </c>
      <c r="I131" s="207">
        <v>0</v>
      </c>
      <c r="J131" s="207">
        <v>0</v>
      </c>
    </row>
    <row r="132" spans="1:12" s="210" customFormat="1" x14ac:dyDescent="0.25">
      <c r="A132" s="386"/>
      <c r="B132" s="387"/>
      <c r="C132" s="389"/>
      <c r="D132" s="289" t="s">
        <v>15</v>
      </c>
      <c r="E132" s="207">
        <f t="shared" si="39"/>
        <v>0</v>
      </c>
      <c r="F132" s="207">
        <v>0</v>
      </c>
      <c r="G132" s="207">
        <v>0</v>
      </c>
      <c r="H132" s="207">
        <v>0</v>
      </c>
      <c r="I132" s="207">
        <f>H132</f>
        <v>0</v>
      </c>
      <c r="J132" s="207">
        <f>I132*4</f>
        <v>0</v>
      </c>
    </row>
    <row r="133" spans="1:12" s="210" customFormat="1" ht="30" x14ac:dyDescent="0.25">
      <c r="A133" s="386"/>
      <c r="B133" s="387"/>
      <c r="C133" s="389"/>
      <c r="D133" s="289" t="s">
        <v>91</v>
      </c>
      <c r="E133" s="207">
        <f t="shared" si="39"/>
        <v>0</v>
      </c>
      <c r="F133" s="207">
        <v>0</v>
      </c>
      <c r="G133" s="207">
        <v>0</v>
      </c>
      <c r="H133" s="207">
        <v>0</v>
      </c>
      <c r="I133" s="207">
        <v>0</v>
      </c>
      <c r="J133" s="207">
        <v>0</v>
      </c>
    </row>
    <row r="134" spans="1:12" s="210" customFormat="1" x14ac:dyDescent="0.25">
      <c r="A134" s="386"/>
      <c r="B134" s="387"/>
      <c r="C134" s="389"/>
      <c r="D134" s="289" t="s">
        <v>90</v>
      </c>
      <c r="E134" s="207">
        <f t="shared" si="39"/>
        <v>0</v>
      </c>
      <c r="F134" s="207">
        <v>0</v>
      </c>
      <c r="G134" s="207">
        <v>0</v>
      </c>
      <c r="H134" s="207">
        <v>0</v>
      </c>
      <c r="I134" s="207">
        <v>0</v>
      </c>
      <c r="J134" s="207">
        <v>0</v>
      </c>
    </row>
    <row r="135" spans="1:12" s="210" customFormat="1" x14ac:dyDescent="0.25">
      <c r="A135" s="386"/>
      <c r="B135" s="387"/>
      <c r="C135" s="389"/>
      <c r="D135" s="289" t="s">
        <v>18</v>
      </c>
      <c r="E135" s="207">
        <f t="shared" si="39"/>
        <v>0</v>
      </c>
      <c r="F135" s="207">
        <f>50-50</f>
        <v>0</v>
      </c>
      <c r="G135" s="207">
        <v>0</v>
      </c>
      <c r="H135" s="207">
        <v>0</v>
      </c>
      <c r="I135" s="207">
        <v>0</v>
      </c>
      <c r="J135" s="207">
        <v>0</v>
      </c>
    </row>
    <row r="136" spans="1:12" s="209" customFormat="1" x14ac:dyDescent="0.25">
      <c r="A136" s="390" t="s">
        <v>124</v>
      </c>
      <c r="B136" s="390"/>
      <c r="C136" s="390"/>
      <c r="D136" s="211" t="s">
        <v>12</v>
      </c>
      <c r="E136" s="206">
        <f t="shared" si="39"/>
        <v>2982690.3973700004</v>
      </c>
      <c r="F136" s="206">
        <f t="shared" ref="F136" si="52">SUM(F137:F142)</f>
        <v>398787.89901999995</v>
      </c>
      <c r="G136" s="206">
        <f>SUM(G137:G142)</f>
        <v>371907.81261000002</v>
      </c>
      <c r="H136" s="206">
        <f t="shared" ref="H136:J136" si="53">SUM(H137:H142)</f>
        <v>369631.43694000004</v>
      </c>
      <c r="I136" s="206">
        <f t="shared" si="53"/>
        <v>369030.96976000001</v>
      </c>
      <c r="J136" s="206">
        <f t="shared" si="53"/>
        <v>1473332.2790399999</v>
      </c>
    </row>
    <row r="137" spans="1:12" s="209" customFormat="1" x14ac:dyDescent="0.25">
      <c r="A137" s="390"/>
      <c r="B137" s="390"/>
      <c r="C137" s="390"/>
      <c r="D137" s="289" t="s">
        <v>13</v>
      </c>
      <c r="E137" s="207">
        <f t="shared" si="39"/>
        <v>260.28970000000004</v>
      </c>
      <c r="F137" s="207">
        <f>F53+F60+F67+F74+F102+F109+F116+F130</f>
        <v>74.699600000000004</v>
      </c>
      <c r="G137" s="207">
        <f t="shared" ref="G137:J142" si="54">G53+G60+G67+G74+G102+G109+G116+G130</f>
        <v>68.490099999999998</v>
      </c>
      <c r="H137" s="207">
        <f t="shared" si="54"/>
        <v>65.5</v>
      </c>
      <c r="I137" s="207">
        <f t="shared" si="54"/>
        <v>51.6</v>
      </c>
      <c r="J137" s="207">
        <v>0</v>
      </c>
    </row>
    <row r="138" spans="1:12" s="209" customFormat="1" x14ac:dyDescent="0.25">
      <c r="A138" s="390"/>
      <c r="B138" s="390"/>
      <c r="C138" s="390"/>
      <c r="D138" s="289" t="s">
        <v>14</v>
      </c>
      <c r="E138" s="207">
        <f t="shared" si="39"/>
        <v>3777.5102999999999</v>
      </c>
      <c r="F138" s="207">
        <f t="shared" ref="F138:F141" si="55">F54+F61+F68+F75+F103+F110+F117+F131</f>
        <v>649.90039999999999</v>
      </c>
      <c r="G138" s="207">
        <f t="shared" si="54"/>
        <v>1367.9099000000001</v>
      </c>
      <c r="H138" s="207">
        <f t="shared" si="54"/>
        <v>1113.3999999999999</v>
      </c>
      <c r="I138" s="207">
        <f t="shared" si="54"/>
        <v>646.30000000000007</v>
      </c>
      <c r="J138" s="207">
        <f t="shared" si="54"/>
        <v>0</v>
      </c>
    </row>
    <row r="139" spans="1:12" s="209" customFormat="1" x14ac:dyDescent="0.25">
      <c r="A139" s="390"/>
      <c r="B139" s="390"/>
      <c r="C139" s="390"/>
      <c r="D139" s="289" t="s">
        <v>15</v>
      </c>
      <c r="E139" s="207">
        <f t="shared" si="39"/>
        <v>1962870.6173700001</v>
      </c>
      <c r="F139" s="207">
        <f t="shared" si="55"/>
        <v>397583.29901999998</v>
      </c>
      <c r="G139" s="207">
        <f t="shared" si="54"/>
        <v>368581.41261</v>
      </c>
      <c r="H139" s="207">
        <f t="shared" si="54"/>
        <v>199346.35694000003</v>
      </c>
      <c r="I139" s="207">
        <f t="shared" si="54"/>
        <v>199471.90976000001</v>
      </c>
      <c r="J139" s="207">
        <f t="shared" si="54"/>
        <v>797887.63904000004</v>
      </c>
      <c r="L139" s="255"/>
    </row>
    <row r="140" spans="1:12" s="209" customFormat="1" ht="30" x14ac:dyDescent="0.25">
      <c r="A140" s="390"/>
      <c r="B140" s="390"/>
      <c r="C140" s="390"/>
      <c r="D140" s="289" t="s">
        <v>91</v>
      </c>
      <c r="E140" s="207">
        <f t="shared" si="39"/>
        <v>0</v>
      </c>
      <c r="F140" s="207">
        <f t="shared" si="55"/>
        <v>0</v>
      </c>
      <c r="G140" s="207">
        <f t="shared" si="54"/>
        <v>0</v>
      </c>
      <c r="H140" s="207">
        <f t="shared" si="54"/>
        <v>0</v>
      </c>
      <c r="I140" s="207">
        <f t="shared" si="54"/>
        <v>0</v>
      </c>
      <c r="J140" s="207">
        <f t="shared" si="54"/>
        <v>0</v>
      </c>
    </row>
    <row r="141" spans="1:12" s="209" customFormat="1" x14ac:dyDescent="0.25">
      <c r="A141" s="390"/>
      <c r="B141" s="390"/>
      <c r="C141" s="390"/>
      <c r="D141" s="289" t="s">
        <v>90</v>
      </c>
      <c r="E141" s="207">
        <f t="shared" si="39"/>
        <v>0</v>
      </c>
      <c r="F141" s="207">
        <f t="shared" si="55"/>
        <v>0</v>
      </c>
      <c r="G141" s="207">
        <f t="shared" si="54"/>
        <v>0</v>
      </c>
      <c r="H141" s="207">
        <f t="shared" si="54"/>
        <v>0</v>
      </c>
      <c r="I141" s="207">
        <f t="shared" si="54"/>
        <v>0</v>
      </c>
      <c r="J141" s="207">
        <f t="shared" si="54"/>
        <v>0</v>
      </c>
    </row>
    <row r="142" spans="1:12" s="209" customFormat="1" x14ac:dyDescent="0.25">
      <c r="A142" s="390"/>
      <c r="B142" s="390"/>
      <c r="C142" s="390"/>
      <c r="D142" s="289" t="s">
        <v>18</v>
      </c>
      <c r="E142" s="207">
        <f t="shared" si="39"/>
        <v>1015781.98</v>
      </c>
      <c r="F142" s="207">
        <f>F58+F65+F72+F79+F107+F114+F121+F135</f>
        <v>479.99999999999909</v>
      </c>
      <c r="G142" s="207">
        <f t="shared" ref="G142:H142" si="56">G58+G65+G72+G79+G107+G114+G121+G135</f>
        <v>1890</v>
      </c>
      <c r="H142" s="207">
        <f t="shared" si="56"/>
        <v>169106.18</v>
      </c>
      <c r="I142" s="207">
        <f>I58+I65+I72+I86+I107+I114+I121+I135</f>
        <v>168861.16</v>
      </c>
      <c r="J142" s="207">
        <f t="shared" si="54"/>
        <v>675444.64</v>
      </c>
    </row>
    <row r="143" spans="1:12" s="209" customFormat="1" x14ac:dyDescent="0.25">
      <c r="A143" s="385" t="s">
        <v>305</v>
      </c>
      <c r="B143" s="385"/>
      <c r="C143" s="385"/>
      <c r="D143" s="385"/>
      <c r="E143" s="385"/>
      <c r="F143" s="385"/>
      <c r="G143" s="385"/>
      <c r="H143" s="385"/>
      <c r="I143" s="385"/>
      <c r="J143" s="385"/>
    </row>
    <row r="144" spans="1:12" s="210" customFormat="1" ht="15" customHeight="1" x14ac:dyDescent="0.25">
      <c r="A144" s="398" t="s">
        <v>126</v>
      </c>
      <c r="B144" s="400" t="s">
        <v>370</v>
      </c>
      <c r="C144" s="397" t="s">
        <v>125</v>
      </c>
      <c r="D144" s="211" t="s">
        <v>12</v>
      </c>
      <c r="E144" s="213">
        <f t="shared" ref="E144:E170" si="57">SUM(F144:J144)</f>
        <v>310469.84293000004</v>
      </c>
      <c r="F144" s="213">
        <f t="shared" ref="F144" si="58">SUM(F145:F150)</f>
        <v>104443.68816000001</v>
      </c>
      <c r="G144" s="272">
        <f>SUM(G145:G150)</f>
        <v>30604.754770000003</v>
      </c>
      <c r="H144" s="272">
        <f t="shared" ref="H144:J144" si="59">SUM(H145:H150)</f>
        <v>29399.4</v>
      </c>
      <c r="I144" s="272">
        <f t="shared" si="59"/>
        <v>29204.400000000001</v>
      </c>
      <c r="J144" s="213">
        <f t="shared" si="59"/>
        <v>116817.60000000001</v>
      </c>
    </row>
    <row r="145" spans="1:12" s="210" customFormat="1" x14ac:dyDescent="0.25">
      <c r="A145" s="399"/>
      <c r="B145" s="401"/>
      <c r="C145" s="397"/>
      <c r="D145" s="289" t="s">
        <v>13</v>
      </c>
      <c r="E145" s="214">
        <f t="shared" si="57"/>
        <v>0</v>
      </c>
      <c r="F145" s="214">
        <v>0</v>
      </c>
      <c r="G145" s="273">
        <v>0</v>
      </c>
      <c r="H145" s="273">
        <v>0</v>
      </c>
      <c r="I145" s="273">
        <v>0</v>
      </c>
      <c r="J145" s="214">
        <v>0</v>
      </c>
    </row>
    <row r="146" spans="1:12" s="210" customFormat="1" x14ac:dyDescent="0.25">
      <c r="A146" s="399"/>
      <c r="B146" s="401"/>
      <c r="C146" s="397"/>
      <c r="D146" s="289" t="s">
        <v>14</v>
      </c>
      <c r="E146" s="214">
        <f t="shared" si="57"/>
        <v>0</v>
      </c>
      <c r="F146" s="214">
        <v>0</v>
      </c>
      <c r="G146" s="273">
        <v>0</v>
      </c>
      <c r="H146" s="273">
        <v>0</v>
      </c>
      <c r="I146" s="273">
        <v>0</v>
      </c>
      <c r="J146" s="214">
        <v>0</v>
      </c>
    </row>
    <row r="147" spans="1:12" s="210" customFormat="1" x14ac:dyDescent="0.25">
      <c r="A147" s="399"/>
      <c r="B147" s="401"/>
      <c r="C147" s="397"/>
      <c r="D147" s="289" t="s">
        <v>15</v>
      </c>
      <c r="E147" s="214">
        <f t="shared" si="57"/>
        <v>238469.24293000001</v>
      </c>
      <c r="F147" s="214">
        <f>79218.74283-48-200-88.1+8260.85+10437.19802+5502.0512+1532.38971-171.4436</f>
        <v>104443.68816000001</v>
      </c>
      <c r="G147" s="273">
        <f>22106.9+413.9-2112.06942+4424.44942+5694.29151-707.45202-49.85647+772.59175-98+160</f>
        <v>30604.754770000003</v>
      </c>
      <c r="H147" s="273">
        <f>16822.9+413.9</f>
        <v>17236.800000000003</v>
      </c>
      <c r="I147" s="273">
        <f>16822.9+413.9</f>
        <v>17236.800000000003</v>
      </c>
      <c r="J147" s="214">
        <f>I147*4</f>
        <v>68947.200000000012</v>
      </c>
      <c r="K147" s="270"/>
      <c r="L147" s="234"/>
    </row>
    <row r="148" spans="1:12" s="210" customFormat="1" ht="30" x14ac:dyDescent="0.25">
      <c r="A148" s="399"/>
      <c r="B148" s="401"/>
      <c r="C148" s="397"/>
      <c r="D148" s="289" t="s">
        <v>91</v>
      </c>
      <c r="E148" s="214">
        <f t="shared" si="57"/>
        <v>0</v>
      </c>
      <c r="F148" s="214">
        <v>0</v>
      </c>
      <c r="G148" s="273">
        <v>0</v>
      </c>
      <c r="H148" s="273">
        <v>0</v>
      </c>
      <c r="I148" s="273">
        <v>0</v>
      </c>
      <c r="J148" s="214">
        <f t="shared" ref="J148:J150" si="60">I148*4</f>
        <v>0</v>
      </c>
    </row>
    <row r="149" spans="1:12" s="210" customFormat="1" x14ac:dyDescent="0.25">
      <c r="A149" s="399"/>
      <c r="B149" s="401"/>
      <c r="C149" s="397"/>
      <c r="D149" s="289" t="s">
        <v>90</v>
      </c>
      <c r="E149" s="214">
        <f t="shared" si="57"/>
        <v>0</v>
      </c>
      <c r="F149" s="214">
        <v>0</v>
      </c>
      <c r="G149" s="273">
        <v>0</v>
      </c>
      <c r="H149" s="273">
        <v>0</v>
      </c>
      <c r="I149" s="273">
        <v>0</v>
      </c>
      <c r="J149" s="214">
        <f t="shared" si="60"/>
        <v>0</v>
      </c>
    </row>
    <row r="150" spans="1:12" s="210" customFormat="1" ht="16.5" customHeight="1" x14ac:dyDescent="0.25">
      <c r="A150" s="399"/>
      <c r="B150" s="402"/>
      <c r="C150" s="397"/>
      <c r="D150" s="289" t="s">
        <v>18</v>
      </c>
      <c r="E150" s="214">
        <f t="shared" si="57"/>
        <v>72000.600000000006</v>
      </c>
      <c r="F150" s="214">
        <f>3000-3000</f>
        <v>0</v>
      </c>
      <c r="G150" s="273">
        <f>6779.6-6779.6</f>
        <v>0</v>
      </c>
      <c r="H150" s="273">
        <v>12162.6</v>
      </c>
      <c r="I150" s="273">
        <v>11967.6</v>
      </c>
      <c r="J150" s="214">
        <f t="shared" si="60"/>
        <v>47870.400000000001</v>
      </c>
    </row>
    <row r="151" spans="1:12" s="210" customFormat="1" x14ac:dyDescent="0.25">
      <c r="A151" s="386" t="s">
        <v>127</v>
      </c>
      <c r="B151" s="387" t="s">
        <v>369</v>
      </c>
      <c r="C151" s="389" t="s">
        <v>313</v>
      </c>
      <c r="D151" s="289" t="s">
        <v>12</v>
      </c>
      <c r="E151" s="213">
        <f>SUM(F151:J151)</f>
        <v>61205.194819999997</v>
      </c>
      <c r="F151" s="213">
        <f t="shared" ref="F151" si="61">SUM(F152:F157)</f>
        <v>7296.8377099999998</v>
      </c>
      <c r="G151" s="272">
        <f>SUM(G152:G157)</f>
        <v>8342.8031100000007</v>
      </c>
      <c r="H151" s="272">
        <f t="shared" ref="H151:J151" si="62">SUM(H152:H157)</f>
        <v>7575.759</v>
      </c>
      <c r="I151" s="272">
        <f t="shared" si="62"/>
        <v>7597.9589999999998</v>
      </c>
      <c r="J151" s="213">
        <f t="shared" si="62"/>
        <v>30391.835999999999</v>
      </c>
    </row>
    <row r="152" spans="1:12" s="210" customFormat="1" x14ac:dyDescent="0.25">
      <c r="A152" s="386"/>
      <c r="B152" s="387"/>
      <c r="C152" s="389"/>
      <c r="D152" s="289" t="s">
        <v>13</v>
      </c>
      <c r="E152" s="214">
        <f t="shared" si="57"/>
        <v>0</v>
      </c>
      <c r="F152" s="214">
        <v>0</v>
      </c>
      <c r="G152" s="273">
        <v>0</v>
      </c>
      <c r="H152" s="273">
        <v>0</v>
      </c>
      <c r="I152" s="273">
        <v>0</v>
      </c>
      <c r="J152" s="214">
        <v>0</v>
      </c>
    </row>
    <row r="153" spans="1:12" s="210" customFormat="1" x14ac:dyDescent="0.25">
      <c r="A153" s="386"/>
      <c r="B153" s="387"/>
      <c r="C153" s="389"/>
      <c r="D153" s="289" t="s">
        <v>14</v>
      </c>
      <c r="E153" s="214">
        <f t="shared" si="57"/>
        <v>3087.8</v>
      </c>
      <c r="F153" s="225">
        <v>296.2</v>
      </c>
      <c r="G153" s="277">
        <v>364</v>
      </c>
      <c r="H153" s="277">
        <v>386.1</v>
      </c>
      <c r="I153" s="277">
        <v>408.3</v>
      </c>
      <c r="J153" s="225">
        <f>I153*4</f>
        <v>1633.2</v>
      </c>
    </row>
    <row r="154" spans="1:12" s="210" customFormat="1" x14ac:dyDescent="0.25">
      <c r="A154" s="386"/>
      <c r="B154" s="387"/>
      <c r="C154" s="389"/>
      <c r="D154" s="289" t="s">
        <v>15</v>
      </c>
      <c r="E154" s="214">
        <f t="shared" ref="E154" si="63">SUM(F154:J154)</f>
        <v>58117.394820000001</v>
      </c>
      <c r="F154" s="225">
        <f>6327+783.81437-110.17666</f>
        <v>7000.63771</v>
      </c>
      <c r="G154" s="277">
        <f>7189.659+499.98131+4.0128+285.15</f>
        <v>7978.8031099999998</v>
      </c>
      <c r="H154" s="277">
        <v>7189.6589999999997</v>
      </c>
      <c r="I154" s="277">
        <v>7189.6589999999997</v>
      </c>
      <c r="J154" s="225">
        <f>I154*4</f>
        <v>28758.635999999999</v>
      </c>
      <c r="L154" s="234"/>
    </row>
    <row r="155" spans="1:12" s="210" customFormat="1" ht="30" x14ac:dyDescent="0.25">
      <c r="A155" s="386"/>
      <c r="B155" s="387"/>
      <c r="C155" s="389"/>
      <c r="D155" s="289" t="s">
        <v>91</v>
      </c>
      <c r="E155" s="214">
        <f t="shared" si="57"/>
        <v>0</v>
      </c>
      <c r="F155" s="214">
        <v>0</v>
      </c>
      <c r="G155" s="273">
        <v>0</v>
      </c>
      <c r="H155" s="273">
        <v>0</v>
      </c>
      <c r="I155" s="273">
        <v>0</v>
      </c>
      <c r="J155" s="214">
        <v>0</v>
      </c>
    </row>
    <row r="156" spans="1:12" s="210" customFormat="1" x14ac:dyDescent="0.25">
      <c r="A156" s="386"/>
      <c r="B156" s="387"/>
      <c r="C156" s="389"/>
      <c r="D156" s="289" t="s">
        <v>90</v>
      </c>
      <c r="E156" s="214">
        <f t="shared" si="57"/>
        <v>0</v>
      </c>
      <c r="F156" s="214">
        <v>0</v>
      </c>
      <c r="G156" s="273">
        <v>0</v>
      </c>
      <c r="H156" s="273">
        <v>0</v>
      </c>
      <c r="I156" s="273">
        <v>0</v>
      </c>
      <c r="J156" s="214">
        <v>0</v>
      </c>
    </row>
    <row r="157" spans="1:12" s="210" customFormat="1" x14ac:dyDescent="0.25">
      <c r="A157" s="386"/>
      <c r="B157" s="387"/>
      <c r="C157" s="389"/>
      <c r="D157" s="289" t="s">
        <v>18</v>
      </c>
      <c r="E157" s="214">
        <f t="shared" si="57"/>
        <v>0</v>
      </c>
      <c r="F157" s="281">
        <f>6202.295-6202.295</f>
        <v>0</v>
      </c>
      <c r="G157" s="273">
        <v>0</v>
      </c>
      <c r="H157" s="273">
        <v>0</v>
      </c>
      <c r="I157" s="273">
        <v>0</v>
      </c>
      <c r="J157" s="214">
        <v>0</v>
      </c>
    </row>
    <row r="158" spans="1:12" x14ac:dyDescent="0.25">
      <c r="A158" s="390" t="s">
        <v>128</v>
      </c>
      <c r="B158" s="390"/>
      <c r="C158" s="390"/>
      <c r="D158" s="211" t="s">
        <v>12</v>
      </c>
      <c r="E158" s="206">
        <f t="shared" si="57"/>
        <v>371675.03775000002</v>
      </c>
      <c r="F158" s="206">
        <f t="shared" ref="F158" si="64">SUM(F159:F164)</f>
        <v>111740.52587</v>
      </c>
      <c r="G158" s="274">
        <f>SUM(G159:G164)</f>
        <v>38947.55788</v>
      </c>
      <c r="H158" s="274">
        <f>SUM(H159:H164)</f>
        <v>36975.159</v>
      </c>
      <c r="I158" s="274">
        <f t="shared" ref="I158:J158" si="65">SUM(I159:I164)</f>
        <v>36802.359000000004</v>
      </c>
      <c r="J158" s="206">
        <f t="shared" si="65"/>
        <v>147209.43600000002</v>
      </c>
      <c r="K158" s="254"/>
      <c r="L158" s="216"/>
    </row>
    <row r="159" spans="1:12" x14ac:dyDescent="0.25">
      <c r="A159" s="390"/>
      <c r="B159" s="390"/>
      <c r="C159" s="390"/>
      <c r="D159" s="289" t="s">
        <v>13</v>
      </c>
      <c r="E159" s="207">
        <f t="shared" si="57"/>
        <v>0</v>
      </c>
      <c r="F159" s="207">
        <f t="shared" ref="F159:F164" si="66">F145+F152</f>
        <v>0</v>
      </c>
      <c r="G159" s="275">
        <f t="shared" ref="G159:J164" si="67">G145+G152</f>
        <v>0</v>
      </c>
      <c r="H159" s="275">
        <f t="shared" ref="H159" si="68">H145+H152</f>
        <v>0</v>
      </c>
      <c r="I159" s="275">
        <f t="shared" si="67"/>
        <v>0</v>
      </c>
      <c r="J159" s="207">
        <f t="shared" si="67"/>
        <v>0</v>
      </c>
    </row>
    <row r="160" spans="1:12" x14ac:dyDescent="0.25">
      <c r="A160" s="390"/>
      <c r="B160" s="390"/>
      <c r="C160" s="390"/>
      <c r="D160" s="289" t="s">
        <v>14</v>
      </c>
      <c r="E160" s="207">
        <f t="shared" si="57"/>
        <v>3087.8</v>
      </c>
      <c r="F160" s="207">
        <f t="shared" si="66"/>
        <v>296.2</v>
      </c>
      <c r="G160" s="275">
        <f t="shared" si="67"/>
        <v>364</v>
      </c>
      <c r="H160" s="275">
        <f t="shared" ref="H160" si="69">H146+H153</f>
        <v>386.1</v>
      </c>
      <c r="I160" s="275">
        <f t="shared" si="67"/>
        <v>408.3</v>
      </c>
      <c r="J160" s="207">
        <f t="shared" si="67"/>
        <v>1633.2</v>
      </c>
    </row>
    <row r="161" spans="1:12" x14ac:dyDescent="0.25">
      <c r="A161" s="390"/>
      <c r="B161" s="390"/>
      <c r="C161" s="390"/>
      <c r="D161" s="289" t="s">
        <v>15</v>
      </c>
      <c r="E161" s="207">
        <f t="shared" si="57"/>
        <v>296586.63774999999</v>
      </c>
      <c r="F161" s="207">
        <f t="shared" si="66"/>
        <v>111444.32587</v>
      </c>
      <c r="G161" s="275">
        <f t="shared" si="67"/>
        <v>38583.55788</v>
      </c>
      <c r="H161" s="275">
        <f t="shared" ref="H161" si="70">H147+H154</f>
        <v>24426.459000000003</v>
      </c>
      <c r="I161" s="275">
        <f>I147+I154</f>
        <v>24426.459000000003</v>
      </c>
      <c r="J161" s="207">
        <f t="shared" si="67"/>
        <v>97705.83600000001</v>
      </c>
    </row>
    <row r="162" spans="1:12" ht="30" x14ac:dyDescent="0.25">
      <c r="A162" s="390"/>
      <c r="B162" s="390"/>
      <c r="C162" s="390"/>
      <c r="D162" s="289" t="s">
        <v>91</v>
      </c>
      <c r="E162" s="207">
        <f t="shared" si="57"/>
        <v>0</v>
      </c>
      <c r="F162" s="207">
        <f>F148+F155</f>
        <v>0</v>
      </c>
      <c r="G162" s="275">
        <f t="shared" si="67"/>
        <v>0</v>
      </c>
      <c r="H162" s="275">
        <f t="shared" ref="H162" si="71">H148+H155</f>
        <v>0</v>
      </c>
      <c r="I162" s="275">
        <f t="shared" si="67"/>
        <v>0</v>
      </c>
      <c r="J162" s="207">
        <f t="shared" si="67"/>
        <v>0</v>
      </c>
    </row>
    <row r="163" spans="1:12" x14ac:dyDescent="0.25">
      <c r="A163" s="390"/>
      <c r="B163" s="390"/>
      <c r="C163" s="390"/>
      <c r="D163" s="289" t="s">
        <v>90</v>
      </c>
      <c r="E163" s="207">
        <f t="shared" si="57"/>
        <v>0</v>
      </c>
      <c r="F163" s="207">
        <f t="shared" si="66"/>
        <v>0</v>
      </c>
      <c r="G163" s="275">
        <f t="shared" si="67"/>
        <v>0</v>
      </c>
      <c r="H163" s="275">
        <f t="shared" ref="H163" si="72">H149+H156</f>
        <v>0</v>
      </c>
      <c r="I163" s="275">
        <f t="shared" si="67"/>
        <v>0</v>
      </c>
      <c r="J163" s="207">
        <f t="shared" si="67"/>
        <v>0</v>
      </c>
      <c r="K163" s="216"/>
    </row>
    <row r="164" spans="1:12" x14ac:dyDescent="0.25">
      <c r="A164" s="390"/>
      <c r="B164" s="390"/>
      <c r="C164" s="390"/>
      <c r="D164" s="289" t="s">
        <v>18</v>
      </c>
      <c r="E164" s="207">
        <f t="shared" si="57"/>
        <v>72000.600000000006</v>
      </c>
      <c r="F164" s="207">
        <f t="shared" si="66"/>
        <v>0</v>
      </c>
      <c r="G164" s="275">
        <f t="shared" si="67"/>
        <v>0</v>
      </c>
      <c r="H164" s="275">
        <f t="shared" ref="H164" si="73">H150+H157</f>
        <v>12162.6</v>
      </c>
      <c r="I164" s="275">
        <f t="shared" si="67"/>
        <v>11967.6</v>
      </c>
      <c r="J164" s="207">
        <f t="shared" si="67"/>
        <v>47870.400000000001</v>
      </c>
    </row>
    <row r="165" spans="1:12" x14ac:dyDescent="0.25">
      <c r="A165" s="385" t="s">
        <v>93</v>
      </c>
      <c r="B165" s="385"/>
      <c r="C165" s="385"/>
      <c r="D165" s="211" t="s">
        <v>12</v>
      </c>
      <c r="E165" s="276">
        <f>SUM(F165:J165)</f>
        <v>3778672.3337300001</v>
      </c>
      <c r="F165" s="206">
        <f>SUM(F166:F171)</f>
        <v>520490.72407</v>
      </c>
      <c r="G165" s="206">
        <f>SUM(G166:G171)</f>
        <v>622299.96991999994</v>
      </c>
      <c r="H165" s="206">
        <f>SUM(H166:H171)</f>
        <v>507756.59594000003</v>
      </c>
      <c r="I165" s="206">
        <f>SUM(I166:I171)</f>
        <v>506183.32876</v>
      </c>
      <c r="J165" s="206">
        <f t="shared" ref="J165" si="74">SUM(J166:J171)</f>
        <v>1621941.7150400002</v>
      </c>
      <c r="K165" s="216"/>
    </row>
    <row r="166" spans="1:12" x14ac:dyDescent="0.25">
      <c r="A166" s="385"/>
      <c r="B166" s="385"/>
      <c r="C166" s="385"/>
      <c r="D166" s="289" t="s">
        <v>13</v>
      </c>
      <c r="E166" s="207">
        <f>SUM(F166:J166)</f>
        <v>2471.7462899999996</v>
      </c>
      <c r="F166" s="207">
        <f>F45+F137+F159</f>
        <v>2286.1561899999997</v>
      </c>
      <c r="G166" s="207">
        <f>G45+G137+G159</f>
        <v>68.490099999999998</v>
      </c>
      <c r="H166" s="207">
        <f>H45+H137+H159</f>
        <v>65.5</v>
      </c>
      <c r="I166" s="207">
        <f t="shared" ref="I166" si="75">I45+I137+I159</f>
        <v>51.6</v>
      </c>
      <c r="J166" s="207">
        <f t="shared" ref="F166:J171" si="76">J45+J137+J159</f>
        <v>0</v>
      </c>
      <c r="K166" s="261"/>
    </row>
    <row r="167" spans="1:12" x14ac:dyDescent="0.25">
      <c r="A167" s="385"/>
      <c r="B167" s="385"/>
      <c r="C167" s="385"/>
      <c r="D167" s="289" t="s">
        <v>14</v>
      </c>
      <c r="E167" s="207">
        <f>SUM(F167:J167)</f>
        <v>10324.253710000001</v>
      </c>
      <c r="F167" s="207">
        <f t="shared" ref="F167:G169" si="77">F46+F138+F160</f>
        <v>4405.0438100000001</v>
      </c>
      <c r="G167" s="207">
        <f t="shared" si="77"/>
        <v>1731.9099000000001</v>
      </c>
      <c r="H167" s="207">
        <f t="shared" ref="H167:I167" si="78">H46+H138+H160</f>
        <v>1499.5</v>
      </c>
      <c r="I167" s="207">
        <f t="shared" si="78"/>
        <v>1054.6000000000001</v>
      </c>
      <c r="J167" s="207">
        <f>J46+J138+J160</f>
        <v>1633.2</v>
      </c>
      <c r="K167" s="216"/>
    </row>
    <row r="168" spans="1:12" x14ac:dyDescent="0.25">
      <c r="A168" s="385"/>
      <c r="B168" s="385"/>
      <c r="C168" s="385"/>
      <c r="D168" s="289" t="s">
        <v>15</v>
      </c>
      <c r="E168" s="207">
        <f>SUM(F168:J168)</f>
        <v>2671811.9937299998</v>
      </c>
      <c r="F168" s="207">
        <f t="shared" si="77"/>
        <v>510319.52406999998</v>
      </c>
      <c r="G168" s="207">
        <f t="shared" si="77"/>
        <v>615327.80991999991</v>
      </c>
      <c r="H168" s="207">
        <f t="shared" ref="H168:I168" si="79">H47+H139+H161</f>
        <v>324922.81594</v>
      </c>
      <c r="I168" s="207">
        <f t="shared" si="79"/>
        <v>324248.36875999998</v>
      </c>
      <c r="J168" s="207">
        <f t="shared" si="76"/>
        <v>896993.47504000005</v>
      </c>
      <c r="K168" s="216"/>
      <c r="L168" s="216"/>
    </row>
    <row r="169" spans="1:12" ht="30" x14ac:dyDescent="0.25">
      <c r="A169" s="385"/>
      <c r="B169" s="385"/>
      <c r="C169" s="385"/>
      <c r="D169" s="289" t="s">
        <v>91</v>
      </c>
      <c r="E169" s="207">
        <f>SUM(F169:J169)</f>
        <v>0</v>
      </c>
      <c r="F169" s="207">
        <f t="shared" si="77"/>
        <v>0</v>
      </c>
      <c r="G169" s="207">
        <f t="shared" si="77"/>
        <v>0</v>
      </c>
      <c r="H169" s="207">
        <f t="shared" ref="H169:I169" si="80">H48+H140+H162</f>
        <v>0</v>
      </c>
      <c r="I169" s="207">
        <f t="shared" si="80"/>
        <v>0</v>
      </c>
      <c r="J169" s="207">
        <f t="shared" si="76"/>
        <v>0</v>
      </c>
      <c r="K169" s="216"/>
    </row>
    <row r="170" spans="1:12" x14ac:dyDescent="0.25">
      <c r="A170" s="385"/>
      <c r="B170" s="385"/>
      <c r="C170" s="385"/>
      <c r="D170" s="289" t="s">
        <v>90</v>
      </c>
      <c r="E170" s="207">
        <f t="shared" si="57"/>
        <v>0</v>
      </c>
      <c r="F170" s="207">
        <f t="shared" si="76"/>
        <v>0</v>
      </c>
      <c r="G170" s="207">
        <f t="shared" si="76"/>
        <v>0</v>
      </c>
      <c r="H170" s="207">
        <f t="shared" ref="H170:I170" si="81">H49+H141+H163</f>
        <v>0</v>
      </c>
      <c r="I170" s="207">
        <f t="shared" si="81"/>
        <v>0</v>
      </c>
      <c r="J170" s="207">
        <f t="shared" si="76"/>
        <v>0</v>
      </c>
      <c r="K170" s="216"/>
    </row>
    <row r="171" spans="1:12" x14ac:dyDescent="0.25">
      <c r="A171" s="385"/>
      <c r="B171" s="385"/>
      <c r="C171" s="385"/>
      <c r="D171" s="289" t="s">
        <v>18</v>
      </c>
      <c r="E171" s="207">
        <f>SUM(F171:J171)</f>
        <v>1094064.3400000001</v>
      </c>
      <c r="F171" s="207">
        <f>F50+F142+F164</f>
        <v>3479.9999999999986</v>
      </c>
      <c r="G171" s="207">
        <f>G50+G142+G164</f>
        <v>5171.76</v>
      </c>
      <c r="H171" s="207">
        <f t="shared" ref="H171:I171" si="82">H50+H142+H164</f>
        <v>181268.78</v>
      </c>
      <c r="I171" s="207">
        <f t="shared" si="82"/>
        <v>180828.76</v>
      </c>
      <c r="J171" s="207">
        <f t="shared" si="76"/>
        <v>723315.04</v>
      </c>
      <c r="K171" s="216"/>
    </row>
    <row r="172" spans="1:12" s="210" customFormat="1" x14ac:dyDescent="0.25">
      <c r="A172" s="386" t="s">
        <v>94</v>
      </c>
      <c r="B172" s="386"/>
      <c r="C172" s="386"/>
      <c r="D172" s="289" t="s">
        <v>54</v>
      </c>
      <c r="E172" s="228" t="s">
        <v>54</v>
      </c>
      <c r="F172" s="228"/>
      <c r="G172" s="228" t="s">
        <v>54</v>
      </c>
      <c r="H172" s="214">
        <v>0</v>
      </c>
      <c r="I172" s="228"/>
      <c r="J172" s="228" t="s">
        <v>54</v>
      </c>
    </row>
    <row r="173" spans="1:12" s="209" customFormat="1" x14ac:dyDescent="0.25">
      <c r="A173" s="387" t="s">
        <v>95</v>
      </c>
      <c r="B173" s="387"/>
      <c r="C173" s="387"/>
      <c r="D173" s="211" t="s">
        <v>12</v>
      </c>
      <c r="E173" s="224">
        <f t="shared" ref="E173:E186" si="83">SUM(F173:J173)</f>
        <v>413317.29501</v>
      </c>
      <c r="F173" s="224">
        <f t="shared" ref="F173:J173" si="84">SUM(F174:F179)</f>
        <v>5968.8421099999996</v>
      </c>
      <c r="G173" s="224">
        <f t="shared" si="84"/>
        <v>206548.45289999997</v>
      </c>
      <c r="H173" s="224">
        <f t="shared" si="84"/>
        <v>100800</v>
      </c>
      <c r="I173" s="224">
        <f t="shared" si="84"/>
        <v>100000</v>
      </c>
      <c r="J173" s="224">
        <f t="shared" si="84"/>
        <v>0</v>
      </c>
    </row>
    <row r="174" spans="1:12" s="210" customFormat="1" x14ac:dyDescent="0.25">
      <c r="A174" s="387"/>
      <c r="B174" s="387"/>
      <c r="C174" s="387"/>
      <c r="D174" s="289" t="s">
        <v>13</v>
      </c>
      <c r="E174" s="229">
        <f t="shared" si="83"/>
        <v>2211.4565899999998</v>
      </c>
      <c r="F174" s="229">
        <f t="shared" ref="F174:F179" si="85">F10+F17+F24+F53+F60</f>
        <v>2211.4565899999998</v>
      </c>
      <c r="G174" s="229">
        <f t="shared" ref="G174:J174" si="86">G10+G17+G24+G53+G60</f>
        <v>0</v>
      </c>
      <c r="H174" s="229">
        <f t="shared" si="86"/>
        <v>0</v>
      </c>
      <c r="I174" s="229">
        <f t="shared" si="86"/>
        <v>0</v>
      </c>
      <c r="J174" s="229">
        <f t="shared" si="86"/>
        <v>0</v>
      </c>
    </row>
    <row r="175" spans="1:12" s="210" customFormat="1" x14ac:dyDescent="0.25">
      <c r="A175" s="387"/>
      <c r="B175" s="387"/>
      <c r="C175" s="387"/>
      <c r="D175" s="289" t="s">
        <v>14</v>
      </c>
      <c r="E175" s="229">
        <f t="shared" si="83"/>
        <v>3458.9434100000003</v>
      </c>
      <c r="F175" s="229">
        <f t="shared" si="85"/>
        <v>3458.9434100000003</v>
      </c>
      <c r="G175" s="229">
        <f t="shared" ref="G175:J175" si="87">G11+G18+G25+G54+G61</f>
        <v>0</v>
      </c>
      <c r="H175" s="229">
        <f t="shared" si="87"/>
        <v>0</v>
      </c>
      <c r="I175" s="229">
        <f t="shared" si="87"/>
        <v>0</v>
      </c>
      <c r="J175" s="229">
        <f t="shared" si="87"/>
        <v>0</v>
      </c>
    </row>
    <row r="176" spans="1:12" s="210" customFormat="1" x14ac:dyDescent="0.25">
      <c r="A176" s="387"/>
      <c r="B176" s="387"/>
      <c r="C176" s="387"/>
      <c r="D176" s="289" t="s">
        <v>15</v>
      </c>
      <c r="E176" s="230">
        <f t="shared" si="83"/>
        <v>407646.89500999998</v>
      </c>
      <c r="F176" s="229">
        <f t="shared" si="85"/>
        <v>298.44210999999996</v>
      </c>
      <c r="G176" s="229">
        <f>G12+G19+G26+G55+G62+G33</f>
        <v>206548.45289999997</v>
      </c>
      <c r="H176" s="229">
        <f>H12+H19+H26+H55+H62</f>
        <v>100800</v>
      </c>
      <c r="I176" s="229">
        <f t="shared" ref="I176:J176" si="88">I12+I19+I26+I55+I62</f>
        <v>100000</v>
      </c>
      <c r="J176" s="229">
        <f t="shared" si="88"/>
        <v>0</v>
      </c>
    </row>
    <row r="177" spans="1:10" s="210" customFormat="1" ht="30" x14ac:dyDescent="0.25">
      <c r="A177" s="387"/>
      <c r="B177" s="387"/>
      <c r="C177" s="387"/>
      <c r="D177" s="289" t="s">
        <v>91</v>
      </c>
      <c r="E177" s="230">
        <f t="shared" si="83"/>
        <v>0</v>
      </c>
      <c r="F177" s="229">
        <f t="shared" si="85"/>
        <v>0</v>
      </c>
      <c r="G177" s="229">
        <f t="shared" ref="G177:J177" si="89">G13+G20+G27+G56+G63</f>
        <v>0</v>
      </c>
      <c r="H177" s="229">
        <f t="shared" si="89"/>
        <v>0</v>
      </c>
      <c r="I177" s="229">
        <f t="shared" si="89"/>
        <v>0</v>
      </c>
      <c r="J177" s="229">
        <f t="shared" si="89"/>
        <v>0</v>
      </c>
    </row>
    <row r="178" spans="1:10" s="210" customFormat="1" x14ac:dyDescent="0.25">
      <c r="A178" s="387"/>
      <c r="B178" s="387"/>
      <c r="C178" s="387"/>
      <c r="D178" s="289" t="s">
        <v>90</v>
      </c>
      <c r="E178" s="230">
        <f t="shared" si="83"/>
        <v>0</v>
      </c>
      <c r="F178" s="229">
        <f t="shared" si="85"/>
        <v>0</v>
      </c>
      <c r="G178" s="229">
        <f t="shared" ref="G178:J178" si="90">G14+G21+G28+G57+G64</f>
        <v>0</v>
      </c>
      <c r="H178" s="229">
        <f t="shared" si="90"/>
        <v>0</v>
      </c>
      <c r="I178" s="229">
        <f t="shared" si="90"/>
        <v>0</v>
      </c>
      <c r="J178" s="229">
        <f t="shared" si="90"/>
        <v>0</v>
      </c>
    </row>
    <row r="179" spans="1:10" s="210" customFormat="1" x14ac:dyDescent="0.25">
      <c r="A179" s="387"/>
      <c r="B179" s="387"/>
      <c r="C179" s="387"/>
      <c r="D179" s="289" t="s">
        <v>18</v>
      </c>
      <c r="E179" s="230">
        <f t="shared" si="83"/>
        <v>0</v>
      </c>
      <c r="F179" s="229">
        <f t="shared" si="85"/>
        <v>0</v>
      </c>
      <c r="G179" s="229">
        <f t="shared" ref="G179:J179" si="91">G15+G22+G29+G58+G65</f>
        <v>0</v>
      </c>
      <c r="H179" s="229">
        <f t="shared" si="91"/>
        <v>0</v>
      </c>
      <c r="I179" s="229">
        <f t="shared" si="91"/>
        <v>0</v>
      </c>
      <c r="J179" s="229">
        <f t="shared" si="91"/>
        <v>0</v>
      </c>
    </row>
    <row r="180" spans="1:10" s="209" customFormat="1" x14ac:dyDescent="0.25">
      <c r="A180" s="387" t="s">
        <v>96</v>
      </c>
      <c r="B180" s="387"/>
      <c r="C180" s="387"/>
      <c r="D180" s="211" t="s">
        <v>12</v>
      </c>
      <c r="E180" s="224">
        <f t="shared" si="83"/>
        <v>3365355.0387200001</v>
      </c>
      <c r="F180" s="224">
        <f t="shared" ref="F180:J180" si="92">SUM(F181:F186)</f>
        <v>514521.88195999997</v>
      </c>
      <c r="G180" s="224">
        <f t="shared" si="92"/>
        <v>415751.51701999997</v>
      </c>
      <c r="H180" s="224">
        <f t="shared" si="92"/>
        <v>406956.59594000003</v>
      </c>
      <c r="I180" s="224">
        <f t="shared" si="92"/>
        <v>406183.32876</v>
      </c>
      <c r="J180" s="224">
        <f t="shared" si="92"/>
        <v>1621941.7150400002</v>
      </c>
    </row>
    <row r="181" spans="1:10" s="210" customFormat="1" x14ac:dyDescent="0.25">
      <c r="A181" s="387"/>
      <c r="B181" s="387"/>
      <c r="C181" s="387"/>
      <c r="D181" s="289" t="s">
        <v>13</v>
      </c>
      <c r="E181" s="229">
        <f>SUM(F181:J181)</f>
        <v>260.28969999999993</v>
      </c>
      <c r="F181" s="229">
        <f>F166-F174</f>
        <v>74.699599999999919</v>
      </c>
      <c r="G181" s="229">
        <f t="shared" ref="G181:J181" si="93">G166-G174</f>
        <v>68.490099999999998</v>
      </c>
      <c r="H181" s="229">
        <f t="shared" si="93"/>
        <v>65.5</v>
      </c>
      <c r="I181" s="229">
        <f t="shared" si="93"/>
        <v>51.6</v>
      </c>
      <c r="J181" s="229">
        <f t="shared" si="93"/>
        <v>0</v>
      </c>
    </row>
    <row r="182" spans="1:10" s="210" customFormat="1" x14ac:dyDescent="0.25">
      <c r="A182" s="387"/>
      <c r="B182" s="387"/>
      <c r="C182" s="387"/>
      <c r="D182" s="289" t="s">
        <v>14</v>
      </c>
      <c r="E182" s="229">
        <f t="shared" si="83"/>
        <v>6865.3103000000001</v>
      </c>
      <c r="F182" s="229">
        <f t="shared" ref="F182:J186" si="94">F167-F175</f>
        <v>946.10039999999981</v>
      </c>
      <c r="G182" s="229">
        <f t="shared" si="94"/>
        <v>1731.9099000000001</v>
      </c>
      <c r="H182" s="229">
        <f t="shared" ref="H182" si="95">H167-H175</f>
        <v>1499.5</v>
      </c>
      <c r="I182" s="229">
        <f t="shared" si="94"/>
        <v>1054.6000000000001</v>
      </c>
      <c r="J182" s="229">
        <f t="shared" si="94"/>
        <v>1633.2</v>
      </c>
    </row>
    <row r="183" spans="1:10" s="210" customFormat="1" x14ac:dyDescent="0.25">
      <c r="A183" s="387"/>
      <c r="B183" s="387"/>
      <c r="C183" s="387"/>
      <c r="D183" s="289" t="s">
        <v>15</v>
      </c>
      <c r="E183" s="229">
        <f t="shared" si="83"/>
        <v>2264165.0987199997</v>
      </c>
      <c r="F183" s="229">
        <f t="shared" si="94"/>
        <v>510021.08195999998</v>
      </c>
      <c r="G183" s="229">
        <f>G168-G176</f>
        <v>408779.35701999994</v>
      </c>
      <c r="H183" s="229">
        <f t="shared" ref="H183" si="96">H168-H176</f>
        <v>224122.81594</v>
      </c>
      <c r="I183" s="229">
        <f t="shared" si="94"/>
        <v>224248.36875999998</v>
      </c>
      <c r="J183" s="229">
        <f t="shared" si="94"/>
        <v>896993.47504000005</v>
      </c>
    </row>
    <row r="184" spans="1:10" s="210" customFormat="1" ht="30" x14ac:dyDescent="0.25">
      <c r="A184" s="387"/>
      <c r="B184" s="387"/>
      <c r="C184" s="387"/>
      <c r="D184" s="289" t="s">
        <v>91</v>
      </c>
      <c r="E184" s="229">
        <f t="shared" si="83"/>
        <v>0</v>
      </c>
      <c r="F184" s="229">
        <f t="shared" si="94"/>
        <v>0</v>
      </c>
      <c r="G184" s="229">
        <f t="shared" ref="G184:H184" si="97">G169-G177</f>
        <v>0</v>
      </c>
      <c r="H184" s="229">
        <f t="shared" si="97"/>
        <v>0</v>
      </c>
      <c r="I184" s="229">
        <f t="shared" si="94"/>
        <v>0</v>
      </c>
      <c r="J184" s="229">
        <f t="shared" si="94"/>
        <v>0</v>
      </c>
    </row>
    <row r="185" spans="1:10" s="210" customFormat="1" x14ac:dyDescent="0.25">
      <c r="A185" s="387"/>
      <c r="B185" s="387"/>
      <c r="C185" s="387"/>
      <c r="D185" s="289" t="s">
        <v>90</v>
      </c>
      <c r="E185" s="229">
        <f t="shared" si="83"/>
        <v>0</v>
      </c>
      <c r="F185" s="229">
        <f t="shared" si="94"/>
        <v>0</v>
      </c>
      <c r="G185" s="229">
        <f t="shared" ref="G185:H185" si="98">G170-G178</f>
        <v>0</v>
      </c>
      <c r="H185" s="229">
        <f t="shared" si="98"/>
        <v>0</v>
      </c>
      <c r="I185" s="229">
        <f t="shared" si="94"/>
        <v>0</v>
      </c>
      <c r="J185" s="229">
        <f t="shared" si="94"/>
        <v>0</v>
      </c>
    </row>
    <row r="186" spans="1:10" s="210" customFormat="1" x14ac:dyDescent="0.25">
      <c r="A186" s="387"/>
      <c r="B186" s="387"/>
      <c r="C186" s="387"/>
      <c r="D186" s="289" t="s">
        <v>18</v>
      </c>
      <c r="E186" s="229">
        <f t="shared" si="83"/>
        <v>1094064.3400000001</v>
      </c>
      <c r="F186" s="229">
        <f t="shared" si="94"/>
        <v>3479.9999999999986</v>
      </c>
      <c r="G186" s="229">
        <f t="shared" ref="G186:H186" si="99">G171-G179</f>
        <v>5171.76</v>
      </c>
      <c r="H186" s="229">
        <f t="shared" si="99"/>
        <v>181268.78</v>
      </c>
      <c r="I186" s="229">
        <f t="shared" si="94"/>
        <v>180828.76</v>
      </c>
      <c r="J186" s="229">
        <f t="shared" si="94"/>
        <v>723315.04</v>
      </c>
    </row>
    <row r="187" spans="1:10" s="210" customFormat="1" x14ac:dyDescent="0.25">
      <c r="A187" s="387" t="s">
        <v>94</v>
      </c>
      <c r="B187" s="387"/>
      <c r="C187" s="387"/>
      <c r="D187" s="289" t="s">
        <v>54</v>
      </c>
      <c r="E187" s="231" t="s">
        <v>54</v>
      </c>
      <c r="F187" s="229"/>
      <c r="G187" s="229" t="s">
        <v>54</v>
      </c>
      <c r="H187" s="214">
        <v>0</v>
      </c>
      <c r="I187" s="229"/>
      <c r="J187" s="229" t="s">
        <v>54</v>
      </c>
    </row>
    <row r="188" spans="1:10" s="209" customFormat="1" x14ac:dyDescent="0.25">
      <c r="A188" s="387" t="s">
        <v>97</v>
      </c>
      <c r="B188" s="387"/>
      <c r="C188" s="387"/>
      <c r="D188" s="211" t="s">
        <v>12</v>
      </c>
      <c r="E188" s="224">
        <f t="shared" ref="E188:E201" si="100">SUM(F188:J188)</f>
        <v>407348.45289999997</v>
      </c>
      <c r="F188" s="224">
        <f>SUM(F189:F194)</f>
        <v>0</v>
      </c>
      <c r="G188" s="224">
        <f t="shared" ref="G188:J188" si="101">SUM(G189:G194)</f>
        <v>206548.45289999997</v>
      </c>
      <c r="H188" s="224">
        <f t="shared" si="101"/>
        <v>100800</v>
      </c>
      <c r="I188" s="224">
        <f t="shared" si="101"/>
        <v>100000</v>
      </c>
      <c r="J188" s="224">
        <f t="shared" si="101"/>
        <v>0</v>
      </c>
    </row>
    <row r="189" spans="1:10" s="210" customFormat="1" x14ac:dyDescent="0.25">
      <c r="A189" s="387"/>
      <c r="B189" s="387"/>
      <c r="C189" s="387"/>
      <c r="D189" s="289" t="s">
        <v>13</v>
      </c>
      <c r="E189" s="229">
        <f t="shared" si="100"/>
        <v>0</v>
      </c>
      <c r="F189" s="229">
        <f t="shared" ref="F189:F194" si="102">F17+F24</f>
        <v>0</v>
      </c>
      <c r="G189" s="229">
        <f t="shared" ref="G189:J189" si="103">G17+G24</f>
        <v>0</v>
      </c>
      <c r="H189" s="214">
        <v>0</v>
      </c>
      <c r="I189" s="229">
        <f t="shared" si="103"/>
        <v>0</v>
      </c>
      <c r="J189" s="229">
        <f t="shared" si="103"/>
        <v>0</v>
      </c>
    </row>
    <row r="190" spans="1:10" s="210" customFormat="1" x14ac:dyDescent="0.25">
      <c r="A190" s="387"/>
      <c r="B190" s="387"/>
      <c r="C190" s="387"/>
      <c r="D190" s="289" t="s">
        <v>14</v>
      </c>
      <c r="E190" s="229">
        <f t="shared" si="100"/>
        <v>0</v>
      </c>
      <c r="F190" s="229">
        <f t="shared" si="102"/>
        <v>0</v>
      </c>
      <c r="G190" s="229">
        <f>G18+G25</f>
        <v>0</v>
      </c>
      <c r="H190" s="214">
        <v>0</v>
      </c>
      <c r="I190" s="229">
        <f t="shared" ref="I190:J194" si="104">I18+I25</f>
        <v>0</v>
      </c>
      <c r="J190" s="229">
        <f t="shared" si="104"/>
        <v>0</v>
      </c>
    </row>
    <row r="191" spans="1:10" s="210" customFormat="1" x14ac:dyDescent="0.25">
      <c r="A191" s="387"/>
      <c r="B191" s="387"/>
      <c r="C191" s="387"/>
      <c r="D191" s="289" t="s">
        <v>15</v>
      </c>
      <c r="E191" s="230">
        <f>SUM(F191:J191)</f>
        <v>407348.45289999997</v>
      </c>
      <c r="F191" s="229">
        <f t="shared" si="102"/>
        <v>0</v>
      </c>
      <c r="G191" s="229">
        <f>G19+G26+G33</f>
        <v>206548.45289999997</v>
      </c>
      <c r="H191" s="229">
        <f>H19+H26</f>
        <v>100800</v>
      </c>
      <c r="I191" s="229">
        <f t="shared" si="104"/>
        <v>100000</v>
      </c>
      <c r="J191" s="229">
        <f t="shared" si="104"/>
        <v>0</v>
      </c>
    </row>
    <row r="192" spans="1:10" s="210" customFormat="1" ht="30" x14ac:dyDescent="0.25">
      <c r="A192" s="387"/>
      <c r="B192" s="387"/>
      <c r="C192" s="387"/>
      <c r="D192" s="289" t="s">
        <v>91</v>
      </c>
      <c r="E192" s="230">
        <f t="shared" si="100"/>
        <v>0</v>
      </c>
      <c r="F192" s="229">
        <f t="shared" si="102"/>
        <v>0</v>
      </c>
      <c r="G192" s="229">
        <f>G20+G27</f>
        <v>0</v>
      </c>
      <c r="H192" s="214">
        <v>0</v>
      </c>
      <c r="I192" s="229">
        <f t="shared" si="104"/>
        <v>0</v>
      </c>
      <c r="J192" s="229">
        <f t="shared" si="104"/>
        <v>0</v>
      </c>
    </row>
    <row r="193" spans="1:10" s="210" customFormat="1" x14ac:dyDescent="0.25">
      <c r="A193" s="387"/>
      <c r="B193" s="387"/>
      <c r="C193" s="387"/>
      <c r="D193" s="289" t="s">
        <v>90</v>
      </c>
      <c r="E193" s="230">
        <f t="shared" si="100"/>
        <v>0</v>
      </c>
      <c r="F193" s="229">
        <f t="shared" si="102"/>
        <v>0</v>
      </c>
      <c r="G193" s="229">
        <f>G21+G28</f>
        <v>0</v>
      </c>
      <c r="H193" s="214">
        <v>0</v>
      </c>
      <c r="I193" s="229">
        <f t="shared" si="104"/>
        <v>0</v>
      </c>
      <c r="J193" s="229">
        <f t="shared" si="104"/>
        <v>0</v>
      </c>
    </row>
    <row r="194" spans="1:10" s="210" customFormat="1" x14ac:dyDescent="0.25">
      <c r="A194" s="387"/>
      <c r="B194" s="387"/>
      <c r="C194" s="387"/>
      <c r="D194" s="289" t="s">
        <v>18</v>
      </c>
      <c r="E194" s="230">
        <f t="shared" si="100"/>
        <v>0</v>
      </c>
      <c r="F194" s="229">
        <f t="shared" si="102"/>
        <v>0</v>
      </c>
      <c r="G194" s="229">
        <f>G22+G29</f>
        <v>0</v>
      </c>
      <c r="H194" s="229">
        <f>H22+H29</f>
        <v>0</v>
      </c>
      <c r="I194" s="229">
        <f t="shared" si="104"/>
        <v>0</v>
      </c>
      <c r="J194" s="229">
        <f t="shared" si="104"/>
        <v>0</v>
      </c>
    </row>
    <row r="195" spans="1:10" s="209" customFormat="1" x14ac:dyDescent="0.25">
      <c r="A195" s="387" t="s">
        <v>98</v>
      </c>
      <c r="B195" s="387"/>
      <c r="C195" s="387"/>
      <c r="D195" s="211" t="s">
        <v>12</v>
      </c>
      <c r="E195" s="224">
        <f>SUM(F195:J195)</f>
        <v>3371323.8808300002</v>
      </c>
      <c r="F195" s="224">
        <f t="shared" ref="F195:H195" si="105">SUM(F196:F201)</f>
        <v>520490.72407</v>
      </c>
      <c r="G195" s="224">
        <f t="shared" si="105"/>
        <v>415751.51701999997</v>
      </c>
      <c r="H195" s="224">
        <f t="shared" si="105"/>
        <v>406956.59594000003</v>
      </c>
      <c r="I195" s="224">
        <f t="shared" ref="I195:J195" si="106">SUM(I196:I201)</f>
        <v>406183.32876</v>
      </c>
      <c r="J195" s="224">
        <f t="shared" si="106"/>
        <v>1621941.7150400002</v>
      </c>
    </row>
    <row r="196" spans="1:10" s="210" customFormat="1" x14ac:dyDescent="0.25">
      <c r="A196" s="387"/>
      <c r="B196" s="387"/>
      <c r="C196" s="387"/>
      <c r="D196" s="289" t="s">
        <v>13</v>
      </c>
      <c r="E196" s="229">
        <f t="shared" si="100"/>
        <v>2471.7462899999996</v>
      </c>
      <c r="F196" s="229">
        <f>F166-F189</f>
        <v>2286.1561899999997</v>
      </c>
      <c r="G196" s="229">
        <f t="shared" ref="G196" si="107">G166-G189</f>
        <v>68.490099999999998</v>
      </c>
      <c r="H196" s="229">
        <f t="shared" ref="H196:I196" si="108">H166-H189</f>
        <v>65.5</v>
      </c>
      <c r="I196" s="229">
        <f t="shared" si="108"/>
        <v>51.6</v>
      </c>
      <c r="J196" s="229">
        <f t="shared" ref="J196" si="109">J166-J189</f>
        <v>0</v>
      </c>
    </row>
    <row r="197" spans="1:10" s="210" customFormat="1" x14ac:dyDescent="0.25">
      <c r="A197" s="387"/>
      <c r="B197" s="387"/>
      <c r="C197" s="387"/>
      <c r="D197" s="289" t="s">
        <v>14</v>
      </c>
      <c r="E197" s="229">
        <f t="shared" si="100"/>
        <v>10324.253710000001</v>
      </c>
      <c r="F197" s="229">
        <f t="shared" ref="F197:G201" si="110">F167-F190</f>
        <v>4405.0438100000001</v>
      </c>
      <c r="G197" s="229">
        <f t="shared" si="110"/>
        <v>1731.9099000000001</v>
      </c>
      <c r="H197" s="229">
        <f t="shared" ref="H197:I197" si="111">H167-H190</f>
        <v>1499.5</v>
      </c>
      <c r="I197" s="229">
        <f t="shared" si="111"/>
        <v>1054.6000000000001</v>
      </c>
      <c r="J197" s="229">
        <f t="shared" ref="J197" si="112">J167-J190</f>
        <v>1633.2</v>
      </c>
    </row>
    <row r="198" spans="1:10" s="210" customFormat="1" x14ac:dyDescent="0.25">
      <c r="A198" s="387"/>
      <c r="B198" s="387"/>
      <c r="C198" s="387"/>
      <c r="D198" s="289" t="s">
        <v>15</v>
      </c>
      <c r="E198" s="229">
        <f t="shared" si="100"/>
        <v>2264463.5408299998</v>
      </c>
      <c r="F198" s="229">
        <f t="shared" si="110"/>
        <v>510319.52406999998</v>
      </c>
      <c r="G198" s="229">
        <f t="shared" si="110"/>
        <v>408779.35701999994</v>
      </c>
      <c r="H198" s="229">
        <f t="shared" ref="H198:I198" si="113">H168-H191</f>
        <v>224122.81594</v>
      </c>
      <c r="I198" s="229">
        <f t="shared" si="113"/>
        <v>224248.36875999998</v>
      </c>
      <c r="J198" s="229">
        <f t="shared" ref="J198" si="114">J168-J191</f>
        <v>896993.47504000005</v>
      </c>
    </row>
    <row r="199" spans="1:10" s="210" customFormat="1" ht="30" x14ac:dyDescent="0.25">
      <c r="A199" s="387"/>
      <c r="B199" s="387"/>
      <c r="C199" s="387"/>
      <c r="D199" s="289" t="s">
        <v>91</v>
      </c>
      <c r="E199" s="229">
        <f t="shared" si="100"/>
        <v>0</v>
      </c>
      <c r="F199" s="229">
        <f t="shared" si="110"/>
        <v>0</v>
      </c>
      <c r="G199" s="229">
        <f t="shared" si="110"/>
        <v>0</v>
      </c>
      <c r="H199" s="229">
        <f t="shared" ref="H199:I199" si="115">H169-H192</f>
        <v>0</v>
      </c>
      <c r="I199" s="229">
        <f t="shared" si="115"/>
        <v>0</v>
      </c>
      <c r="J199" s="229">
        <f t="shared" ref="J199" si="116">J169-J192</f>
        <v>0</v>
      </c>
    </row>
    <row r="200" spans="1:10" s="210" customFormat="1" x14ac:dyDescent="0.25">
      <c r="A200" s="387"/>
      <c r="B200" s="387"/>
      <c r="C200" s="387"/>
      <c r="D200" s="289" t="s">
        <v>90</v>
      </c>
      <c r="E200" s="229">
        <f t="shared" si="100"/>
        <v>0</v>
      </c>
      <c r="F200" s="229">
        <f t="shared" si="110"/>
        <v>0</v>
      </c>
      <c r="G200" s="229">
        <f t="shared" si="110"/>
        <v>0</v>
      </c>
      <c r="H200" s="229">
        <f t="shared" ref="H200:I200" si="117">H170-H193</f>
        <v>0</v>
      </c>
      <c r="I200" s="229">
        <f t="shared" si="117"/>
        <v>0</v>
      </c>
      <c r="J200" s="229">
        <f t="shared" ref="J200" si="118">J170-J193</f>
        <v>0</v>
      </c>
    </row>
    <row r="201" spans="1:10" s="210" customFormat="1" x14ac:dyDescent="0.25">
      <c r="A201" s="387"/>
      <c r="B201" s="387"/>
      <c r="C201" s="387"/>
      <c r="D201" s="289" t="s">
        <v>18</v>
      </c>
      <c r="E201" s="229">
        <f t="shared" si="100"/>
        <v>1094064.3400000001</v>
      </c>
      <c r="F201" s="229">
        <f t="shared" si="110"/>
        <v>3479.9999999999986</v>
      </c>
      <c r="G201" s="229">
        <f t="shared" si="110"/>
        <v>5171.76</v>
      </c>
      <c r="H201" s="229">
        <f t="shared" ref="H201:I201" si="119">H171-H194</f>
        <v>181268.78</v>
      </c>
      <c r="I201" s="229">
        <f t="shared" si="119"/>
        <v>180828.76</v>
      </c>
      <c r="J201" s="229">
        <f t="shared" ref="J201" si="120">J171-J194</f>
        <v>723315.04</v>
      </c>
    </row>
    <row r="202" spans="1:10" s="210" customFormat="1" x14ac:dyDescent="0.25">
      <c r="A202" s="388" t="s">
        <v>77</v>
      </c>
      <c r="B202" s="388"/>
      <c r="C202" s="388"/>
      <c r="D202" s="289"/>
      <c r="E202" s="232"/>
      <c r="F202" s="232"/>
      <c r="G202" s="232"/>
      <c r="H202" s="232"/>
      <c r="I202" s="232"/>
      <c r="J202" s="232"/>
    </row>
    <row r="203" spans="1:10" s="210" customFormat="1" x14ac:dyDescent="0.25">
      <c r="A203" s="387" t="s">
        <v>144</v>
      </c>
      <c r="B203" s="387"/>
      <c r="C203" s="387"/>
      <c r="D203" s="211" t="s">
        <v>12</v>
      </c>
      <c r="E203" s="224">
        <f t="shared" ref="E203:E216" si="121">SUM(F203:J203)</f>
        <v>3299584.15221</v>
      </c>
      <c r="F203" s="224">
        <f t="shared" ref="F203:J203" si="122">SUM(F204:F209)</f>
        <v>510851.20256000001</v>
      </c>
      <c r="G203" s="224">
        <f t="shared" si="122"/>
        <v>406416.86391000001</v>
      </c>
      <c r="H203" s="224">
        <f t="shared" si="122"/>
        <v>398180.83694000001</v>
      </c>
      <c r="I203" s="224">
        <f t="shared" si="122"/>
        <v>397385.36976000003</v>
      </c>
      <c r="J203" s="224">
        <f t="shared" si="122"/>
        <v>1586749.87904</v>
      </c>
    </row>
    <row r="204" spans="1:10" s="210" customFormat="1" x14ac:dyDescent="0.25">
      <c r="A204" s="387"/>
      <c r="B204" s="387"/>
      <c r="C204" s="387"/>
      <c r="D204" s="289" t="s">
        <v>13</v>
      </c>
      <c r="E204" s="229">
        <f t="shared" si="121"/>
        <v>2471.7462899999996</v>
      </c>
      <c r="F204" s="233">
        <f>F166-F211-F218-F225</f>
        <v>2286.1561899999997</v>
      </c>
      <c r="G204" s="233">
        <f t="shared" ref="G204:J204" si="123">G166-G211-G218-G225</f>
        <v>68.490099999999998</v>
      </c>
      <c r="H204" s="233">
        <f t="shared" si="123"/>
        <v>65.5</v>
      </c>
      <c r="I204" s="233">
        <f t="shared" si="123"/>
        <v>51.6</v>
      </c>
      <c r="J204" s="233">
        <f t="shared" si="123"/>
        <v>0</v>
      </c>
    </row>
    <row r="205" spans="1:10" s="210" customFormat="1" x14ac:dyDescent="0.25">
      <c r="A205" s="387"/>
      <c r="B205" s="387"/>
      <c r="C205" s="387"/>
      <c r="D205" s="289" t="s">
        <v>14</v>
      </c>
      <c r="E205" s="229">
        <f t="shared" si="121"/>
        <v>7236.4537100000007</v>
      </c>
      <c r="F205" s="233">
        <f t="shared" ref="F205:J209" si="124">F167-F212-F219-F226</f>
        <v>4108.8438100000003</v>
      </c>
      <c r="G205" s="233">
        <f t="shared" si="124"/>
        <v>1367.9099000000001</v>
      </c>
      <c r="H205" s="233">
        <f t="shared" si="124"/>
        <v>1113.4000000000001</v>
      </c>
      <c r="I205" s="233">
        <f t="shared" si="124"/>
        <v>646.30000000000018</v>
      </c>
      <c r="J205" s="233">
        <f t="shared" si="124"/>
        <v>0</v>
      </c>
    </row>
    <row r="206" spans="1:10" s="210" customFormat="1" x14ac:dyDescent="0.25">
      <c r="A206" s="387"/>
      <c r="B206" s="387"/>
      <c r="C206" s="387"/>
      <c r="D206" s="289" t="s">
        <v>15</v>
      </c>
      <c r="E206" s="215">
        <f>SUM(F206:J206)</f>
        <v>2195811.6122099999</v>
      </c>
      <c r="F206" s="233">
        <f t="shared" si="124"/>
        <v>500976.20256000001</v>
      </c>
      <c r="G206" s="233">
        <f>G168-G213-G220-G227</f>
        <v>399808.70390999998</v>
      </c>
      <c r="H206" s="233">
        <f t="shared" si="124"/>
        <v>215733.15694000002</v>
      </c>
      <c r="I206" s="233">
        <f t="shared" si="124"/>
        <v>215858.70976</v>
      </c>
      <c r="J206" s="233">
        <f t="shared" si="124"/>
        <v>863434.83903999999</v>
      </c>
    </row>
    <row r="207" spans="1:10" s="210" customFormat="1" ht="30" x14ac:dyDescent="0.25">
      <c r="A207" s="387"/>
      <c r="B207" s="387"/>
      <c r="C207" s="387"/>
      <c r="D207" s="289" t="s">
        <v>91</v>
      </c>
      <c r="E207" s="229">
        <f t="shared" si="121"/>
        <v>0</v>
      </c>
      <c r="F207" s="233">
        <f t="shared" si="124"/>
        <v>0</v>
      </c>
      <c r="G207" s="233">
        <f t="shared" si="124"/>
        <v>0</v>
      </c>
      <c r="H207" s="233">
        <f t="shared" si="124"/>
        <v>0</v>
      </c>
      <c r="I207" s="233">
        <f t="shared" si="124"/>
        <v>0</v>
      </c>
      <c r="J207" s="233">
        <f t="shared" si="124"/>
        <v>0</v>
      </c>
    </row>
    <row r="208" spans="1:10" s="210" customFormat="1" x14ac:dyDescent="0.25">
      <c r="A208" s="387"/>
      <c r="B208" s="387"/>
      <c r="C208" s="387"/>
      <c r="D208" s="289" t="s">
        <v>90</v>
      </c>
      <c r="E208" s="229">
        <f t="shared" si="121"/>
        <v>0</v>
      </c>
      <c r="F208" s="233">
        <f t="shared" si="124"/>
        <v>0</v>
      </c>
      <c r="G208" s="233">
        <f t="shared" si="124"/>
        <v>0</v>
      </c>
      <c r="H208" s="233">
        <f t="shared" si="124"/>
        <v>0</v>
      </c>
      <c r="I208" s="233">
        <f t="shared" si="124"/>
        <v>0</v>
      </c>
      <c r="J208" s="233">
        <f t="shared" si="124"/>
        <v>0</v>
      </c>
    </row>
    <row r="209" spans="1:11" s="210" customFormat="1" x14ac:dyDescent="0.25">
      <c r="A209" s="387"/>
      <c r="B209" s="387"/>
      <c r="C209" s="387"/>
      <c r="D209" s="289" t="s">
        <v>18</v>
      </c>
      <c r="E209" s="229">
        <f t="shared" si="121"/>
        <v>1094064.3400000001</v>
      </c>
      <c r="F209" s="233">
        <f t="shared" si="124"/>
        <v>3479.9999999999986</v>
      </c>
      <c r="G209" s="233">
        <f t="shared" si="124"/>
        <v>5171.76</v>
      </c>
      <c r="H209" s="233">
        <f t="shared" si="124"/>
        <v>181268.78</v>
      </c>
      <c r="I209" s="233">
        <f t="shared" si="124"/>
        <v>180828.76</v>
      </c>
      <c r="J209" s="233">
        <f t="shared" si="124"/>
        <v>723315.04</v>
      </c>
    </row>
    <row r="210" spans="1:11" s="210" customFormat="1" x14ac:dyDescent="0.25">
      <c r="A210" s="387" t="s">
        <v>308</v>
      </c>
      <c r="B210" s="387"/>
      <c r="C210" s="387"/>
      <c r="D210" s="211" t="s">
        <v>12</v>
      </c>
      <c r="E210" s="224">
        <f t="shared" si="121"/>
        <v>406748.45289999997</v>
      </c>
      <c r="F210" s="224">
        <f t="shared" ref="F210:J210" si="125">SUM(F211:F216)</f>
        <v>0</v>
      </c>
      <c r="G210" s="224">
        <f t="shared" si="125"/>
        <v>205948.45289999997</v>
      </c>
      <c r="H210" s="224">
        <f t="shared" si="125"/>
        <v>100800</v>
      </c>
      <c r="I210" s="224">
        <f t="shared" si="125"/>
        <v>100000</v>
      </c>
      <c r="J210" s="224">
        <f t="shared" si="125"/>
        <v>0</v>
      </c>
    </row>
    <row r="211" spans="1:11" s="210" customFormat="1" x14ac:dyDescent="0.25">
      <c r="A211" s="387"/>
      <c r="B211" s="387"/>
      <c r="C211" s="387"/>
      <c r="D211" s="289" t="s">
        <v>13</v>
      </c>
      <c r="E211" s="229">
        <f t="shared" si="121"/>
        <v>0</v>
      </c>
      <c r="F211" s="231">
        <f t="shared" ref="F211:F216" si="126">F17+F24</f>
        <v>0</v>
      </c>
      <c r="G211" s="231">
        <f t="shared" ref="G211:J211" si="127">G17+G24</f>
        <v>0</v>
      </c>
      <c r="H211" s="231">
        <f t="shared" si="127"/>
        <v>0</v>
      </c>
      <c r="I211" s="231">
        <f t="shared" si="127"/>
        <v>0</v>
      </c>
      <c r="J211" s="231">
        <f t="shared" si="127"/>
        <v>0</v>
      </c>
    </row>
    <row r="212" spans="1:11" s="210" customFormat="1" x14ac:dyDescent="0.25">
      <c r="A212" s="387"/>
      <c r="B212" s="387"/>
      <c r="C212" s="387"/>
      <c r="D212" s="289" t="s">
        <v>14</v>
      </c>
      <c r="E212" s="229">
        <f t="shared" si="121"/>
        <v>0</v>
      </c>
      <c r="F212" s="231">
        <f t="shared" si="126"/>
        <v>0</v>
      </c>
      <c r="G212" s="231">
        <f t="shared" ref="G212:J216" si="128">G18+G25</f>
        <v>0</v>
      </c>
      <c r="H212" s="231">
        <f t="shared" si="128"/>
        <v>0</v>
      </c>
      <c r="I212" s="231">
        <f t="shared" si="128"/>
        <v>0</v>
      </c>
      <c r="J212" s="231">
        <f t="shared" si="128"/>
        <v>0</v>
      </c>
    </row>
    <row r="213" spans="1:11" s="210" customFormat="1" x14ac:dyDescent="0.25">
      <c r="A213" s="387"/>
      <c r="B213" s="387"/>
      <c r="C213" s="387"/>
      <c r="D213" s="289" t="s">
        <v>15</v>
      </c>
      <c r="E213" s="215">
        <f t="shared" si="121"/>
        <v>406748.45289999997</v>
      </c>
      <c r="F213" s="231">
        <f t="shared" si="126"/>
        <v>0</v>
      </c>
      <c r="G213" s="231">
        <f t="shared" si="128"/>
        <v>205948.45289999997</v>
      </c>
      <c r="H213" s="231">
        <f t="shared" si="128"/>
        <v>100800</v>
      </c>
      <c r="I213" s="231">
        <f t="shared" si="128"/>
        <v>100000</v>
      </c>
      <c r="J213" s="231">
        <f t="shared" si="128"/>
        <v>0</v>
      </c>
    </row>
    <row r="214" spans="1:11" s="210" customFormat="1" ht="30" x14ac:dyDescent="0.25">
      <c r="A214" s="387"/>
      <c r="B214" s="387"/>
      <c r="C214" s="387"/>
      <c r="D214" s="289" t="s">
        <v>91</v>
      </c>
      <c r="E214" s="229">
        <f t="shared" si="121"/>
        <v>0</v>
      </c>
      <c r="F214" s="231">
        <f t="shared" si="126"/>
        <v>0</v>
      </c>
      <c r="G214" s="231">
        <f t="shared" si="128"/>
        <v>0</v>
      </c>
      <c r="H214" s="231">
        <f t="shared" si="128"/>
        <v>0</v>
      </c>
      <c r="I214" s="231">
        <f t="shared" si="128"/>
        <v>0</v>
      </c>
      <c r="J214" s="231">
        <f t="shared" si="128"/>
        <v>0</v>
      </c>
    </row>
    <row r="215" spans="1:11" s="210" customFormat="1" x14ac:dyDescent="0.25">
      <c r="A215" s="387"/>
      <c r="B215" s="387"/>
      <c r="C215" s="387"/>
      <c r="D215" s="289" t="s">
        <v>99</v>
      </c>
      <c r="E215" s="229">
        <f t="shared" si="121"/>
        <v>0</v>
      </c>
      <c r="F215" s="231">
        <f t="shared" si="126"/>
        <v>0</v>
      </c>
      <c r="G215" s="231">
        <f t="shared" si="128"/>
        <v>0</v>
      </c>
      <c r="H215" s="231">
        <f t="shared" si="128"/>
        <v>0</v>
      </c>
      <c r="I215" s="231">
        <f t="shared" si="128"/>
        <v>0</v>
      </c>
      <c r="J215" s="231">
        <f t="shared" si="128"/>
        <v>0</v>
      </c>
    </row>
    <row r="216" spans="1:11" s="210" customFormat="1" x14ac:dyDescent="0.25">
      <c r="A216" s="387"/>
      <c r="B216" s="387"/>
      <c r="C216" s="387"/>
      <c r="D216" s="232" t="s">
        <v>18</v>
      </c>
      <c r="E216" s="229">
        <f t="shared" si="121"/>
        <v>0</v>
      </c>
      <c r="F216" s="231">
        <f t="shared" si="126"/>
        <v>0</v>
      </c>
      <c r="G216" s="231">
        <f t="shared" si="128"/>
        <v>0</v>
      </c>
      <c r="H216" s="231">
        <f t="shared" si="128"/>
        <v>0</v>
      </c>
      <c r="I216" s="231">
        <f t="shared" si="128"/>
        <v>0</v>
      </c>
      <c r="J216" s="231">
        <f t="shared" si="128"/>
        <v>0</v>
      </c>
    </row>
    <row r="217" spans="1:11" s="210" customFormat="1" ht="15" customHeight="1" x14ac:dyDescent="0.25">
      <c r="A217" s="387" t="s">
        <v>321</v>
      </c>
      <c r="B217" s="387"/>
      <c r="C217" s="387"/>
      <c r="D217" s="289" t="s">
        <v>12</v>
      </c>
      <c r="E217" s="206">
        <f>SUM(F217:J217)</f>
        <v>11134.533799999999</v>
      </c>
      <c r="F217" s="206">
        <f t="shared" ref="F217" si="129">SUM(F218:F223)</f>
        <v>2342.6837999999998</v>
      </c>
      <c r="G217" s="206">
        <f>SUM(G218:G223)</f>
        <v>1591.85</v>
      </c>
      <c r="H217" s="206">
        <f t="shared" ref="H217:J217" si="130">SUM(H218:H223)</f>
        <v>1200</v>
      </c>
      <c r="I217" s="206">
        <f t="shared" si="130"/>
        <v>1200</v>
      </c>
      <c r="J217" s="206">
        <f t="shared" si="130"/>
        <v>4800</v>
      </c>
    </row>
    <row r="218" spans="1:11" s="210" customFormat="1" x14ac:dyDescent="0.25">
      <c r="A218" s="387"/>
      <c r="B218" s="387"/>
      <c r="C218" s="387"/>
      <c r="D218" s="289" t="s">
        <v>13</v>
      </c>
      <c r="E218" s="207">
        <f t="shared" ref="E218:E219" si="131">SUM(F218:J218)</f>
        <v>0</v>
      </c>
      <c r="F218" s="207">
        <f>F88</f>
        <v>0</v>
      </c>
      <c r="G218" s="207">
        <f t="shared" ref="G218:J218" si="132">G88</f>
        <v>0</v>
      </c>
      <c r="H218" s="207">
        <f t="shared" si="132"/>
        <v>0</v>
      </c>
      <c r="I218" s="207">
        <f t="shared" si="132"/>
        <v>0</v>
      </c>
      <c r="J218" s="207">
        <f t="shared" si="132"/>
        <v>0</v>
      </c>
    </row>
    <row r="219" spans="1:11" s="210" customFormat="1" x14ac:dyDescent="0.25">
      <c r="A219" s="387"/>
      <c r="B219" s="387"/>
      <c r="C219" s="387"/>
      <c r="D219" s="289" t="s">
        <v>14</v>
      </c>
      <c r="E219" s="207">
        <f t="shared" si="131"/>
        <v>0</v>
      </c>
      <c r="F219" s="207">
        <f t="shared" ref="F219:J223" si="133">F89</f>
        <v>0</v>
      </c>
      <c r="G219" s="207">
        <f t="shared" si="133"/>
        <v>0</v>
      </c>
      <c r="H219" s="207">
        <f t="shared" si="133"/>
        <v>0</v>
      </c>
      <c r="I219" s="207">
        <f t="shared" si="133"/>
        <v>0</v>
      </c>
      <c r="J219" s="207">
        <f t="shared" si="133"/>
        <v>0</v>
      </c>
    </row>
    <row r="220" spans="1:11" s="210" customFormat="1" x14ac:dyDescent="0.25">
      <c r="A220" s="387"/>
      <c r="B220" s="387"/>
      <c r="C220" s="387"/>
      <c r="D220" s="289" t="s">
        <v>15</v>
      </c>
      <c r="E220" s="207">
        <f>SUM(F220:J220)</f>
        <v>11134.533799999999</v>
      </c>
      <c r="F220" s="207">
        <f t="shared" si="133"/>
        <v>2342.6837999999998</v>
      </c>
      <c r="G220" s="207">
        <f t="shared" si="133"/>
        <v>1591.85</v>
      </c>
      <c r="H220" s="207">
        <f t="shared" si="133"/>
        <v>1200</v>
      </c>
      <c r="I220" s="207">
        <f t="shared" si="133"/>
        <v>1200</v>
      </c>
      <c r="J220" s="207">
        <f t="shared" si="133"/>
        <v>4800</v>
      </c>
    </row>
    <row r="221" spans="1:11" s="210" customFormat="1" ht="30" x14ac:dyDescent="0.25">
      <c r="A221" s="387"/>
      <c r="B221" s="387"/>
      <c r="C221" s="387"/>
      <c r="D221" s="289" t="s">
        <v>91</v>
      </c>
      <c r="E221" s="207">
        <f t="shared" ref="E221:E223" si="134">SUM(F221:J221)</f>
        <v>0</v>
      </c>
      <c r="F221" s="207">
        <f t="shared" si="133"/>
        <v>0</v>
      </c>
      <c r="G221" s="207">
        <f t="shared" si="133"/>
        <v>0</v>
      </c>
      <c r="H221" s="207">
        <f t="shared" si="133"/>
        <v>0</v>
      </c>
      <c r="I221" s="207">
        <f t="shared" si="133"/>
        <v>0</v>
      </c>
      <c r="J221" s="207">
        <f t="shared" si="133"/>
        <v>0</v>
      </c>
    </row>
    <row r="222" spans="1:11" s="210" customFormat="1" x14ac:dyDescent="0.25">
      <c r="A222" s="387"/>
      <c r="B222" s="387"/>
      <c r="C222" s="387"/>
      <c r="D222" s="289" t="s">
        <v>99</v>
      </c>
      <c r="E222" s="207">
        <f t="shared" si="134"/>
        <v>0</v>
      </c>
      <c r="F222" s="207">
        <f t="shared" si="133"/>
        <v>0</v>
      </c>
      <c r="G222" s="207">
        <f t="shared" si="133"/>
        <v>0</v>
      </c>
      <c r="H222" s="207">
        <f t="shared" si="133"/>
        <v>0</v>
      </c>
      <c r="I222" s="207">
        <f t="shared" si="133"/>
        <v>0</v>
      </c>
      <c r="J222" s="207">
        <f t="shared" si="133"/>
        <v>0</v>
      </c>
    </row>
    <row r="223" spans="1:11" s="210" customFormat="1" x14ac:dyDescent="0.25">
      <c r="A223" s="387"/>
      <c r="B223" s="387"/>
      <c r="C223" s="387"/>
      <c r="D223" s="232" t="s">
        <v>18</v>
      </c>
      <c r="E223" s="207">
        <f t="shared" si="134"/>
        <v>0</v>
      </c>
      <c r="F223" s="207">
        <f t="shared" si="133"/>
        <v>0</v>
      </c>
      <c r="G223" s="207">
        <f t="shared" si="133"/>
        <v>0</v>
      </c>
      <c r="H223" s="207">
        <f t="shared" si="133"/>
        <v>0</v>
      </c>
      <c r="I223" s="207">
        <f t="shared" si="133"/>
        <v>0</v>
      </c>
      <c r="J223" s="207">
        <f t="shared" si="133"/>
        <v>0</v>
      </c>
    </row>
    <row r="224" spans="1:11" x14ac:dyDescent="0.25">
      <c r="A224" s="387" t="s">
        <v>314</v>
      </c>
      <c r="B224" s="387"/>
      <c r="C224" s="387"/>
      <c r="D224" s="289" t="s">
        <v>12</v>
      </c>
      <c r="E224" s="206">
        <f>SUM(F224:J224)</f>
        <v>61205.194819999997</v>
      </c>
      <c r="F224" s="206">
        <f t="shared" ref="F224" si="135">SUM(F225:F230)</f>
        <v>7296.8377099999998</v>
      </c>
      <c r="G224" s="206">
        <f>SUM(G225:G230)</f>
        <v>8342.8031100000007</v>
      </c>
      <c r="H224" s="206">
        <f t="shared" ref="H224:J224" si="136">SUM(H225:H230)</f>
        <v>7575.759</v>
      </c>
      <c r="I224" s="206">
        <f t="shared" si="136"/>
        <v>7597.9589999999998</v>
      </c>
      <c r="J224" s="206">
        <f t="shared" si="136"/>
        <v>30391.835999999999</v>
      </c>
      <c r="K224" s="210"/>
    </row>
    <row r="225" spans="1:11" x14ac:dyDescent="0.25">
      <c r="A225" s="387"/>
      <c r="B225" s="387"/>
      <c r="C225" s="387"/>
      <c r="D225" s="289" t="s">
        <v>13</v>
      </c>
      <c r="E225" s="207">
        <f t="shared" ref="E225:E230" si="137">SUM(F225:J225)</f>
        <v>0</v>
      </c>
      <c r="F225" s="207">
        <f>F152</f>
        <v>0</v>
      </c>
      <c r="G225" s="207">
        <f t="shared" ref="G225:J225" si="138">G152</f>
        <v>0</v>
      </c>
      <c r="H225" s="207">
        <f t="shared" si="138"/>
        <v>0</v>
      </c>
      <c r="I225" s="207">
        <f t="shared" si="138"/>
        <v>0</v>
      </c>
      <c r="J225" s="207">
        <f t="shared" si="138"/>
        <v>0</v>
      </c>
      <c r="K225" s="210"/>
    </row>
    <row r="226" spans="1:11" x14ac:dyDescent="0.25">
      <c r="A226" s="387"/>
      <c r="B226" s="387"/>
      <c r="C226" s="387"/>
      <c r="D226" s="289" t="s">
        <v>14</v>
      </c>
      <c r="E226" s="207">
        <f t="shared" si="137"/>
        <v>3087.8</v>
      </c>
      <c r="F226" s="207">
        <f t="shared" ref="F226:J230" si="139">F153</f>
        <v>296.2</v>
      </c>
      <c r="G226" s="207">
        <f t="shared" si="139"/>
        <v>364</v>
      </c>
      <c r="H226" s="207">
        <f t="shared" si="139"/>
        <v>386.1</v>
      </c>
      <c r="I226" s="207">
        <f t="shared" si="139"/>
        <v>408.3</v>
      </c>
      <c r="J226" s="207">
        <f t="shared" si="139"/>
        <v>1633.2</v>
      </c>
      <c r="K226" s="210"/>
    </row>
    <row r="227" spans="1:11" x14ac:dyDescent="0.25">
      <c r="A227" s="387"/>
      <c r="B227" s="387"/>
      <c r="C227" s="387"/>
      <c r="D227" s="289" t="s">
        <v>15</v>
      </c>
      <c r="E227" s="207">
        <f>SUM(F227:J227)</f>
        <v>58117.394820000001</v>
      </c>
      <c r="F227" s="207">
        <f t="shared" si="139"/>
        <v>7000.63771</v>
      </c>
      <c r="G227" s="207">
        <f t="shared" si="139"/>
        <v>7978.8031099999998</v>
      </c>
      <c r="H227" s="207">
        <f t="shared" si="139"/>
        <v>7189.6589999999997</v>
      </c>
      <c r="I227" s="207">
        <f t="shared" si="139"/>
        <v>7189.6589999999997</v>
      </c>
      <c r="J227" s="207">
        <f t="shared" si="139"/>
        <v>28758.635999999999</v>
      </c>
      <c r="K227" s="210"/>
    </row>
    <row r="228" spans="1:11" ht="30" x14ac:dyDescent="0.25">
      <c r="A228" s="387"/>
      <c r="B228" s="387"/>
      <c r="C228" s="387"/>
      <c r="D228" s="289" t="s">
        <v>91</v>
      </c>
      <c r="E228" s="207">
        <f t="shared" si="137"/>
        <v>0</v>
      </c>
      <c r="F228" s="207">
        <f t="shared" si="139"/>
        <v>0</v>
      </c>
      <c r="G228" s="207">
        <f t="shared" si="139"/>
        <v>0</v>
      </c>
      <c r="H228" s="207">
        <f t="shared" si="139"/>
        <v>0</v>
      </c>
      <c r="I228" s="207">
        <f t="shared" si="139"/>
        <v>0</v>
      </c>
      <c r="J228" s="207">
        <f t="shared" si="139"/>
        <v>0</v>
      </c>
      <c r="K228" s="210"/>
    </row>
    <row r="229" spans="1:11" x14ac:dyDescent="0.25">
      <c r="A229" s="387"/>
      <c r="B229" s="387"/>
      <c r="C229" s="387"/>
      <c r="D229" s="289" t="s">
        <v>99</v>
      </c>
      <c r="E229" s="207">
        <f t="shared" si="137"/>
        <v>0</v>
      </c>
      <c r="F229" s="207">
        <f t="shared" si="139"/>
        <v>0</v>
      </c>
      <c r="G229" s="207">
        <f t="shared" si="139"/>
        <v>0</v>
      </c>
      <c r="H229" s="207">
        <f t="shared" si="139"/>
        <v>0</v>
      </c>
      <c r="I229" s="207">
        <f t="shared" si="139"/>
        <v>0</v>
      </c>
      <c r="J229" s="207">
        <f t="shared" si="139"/>
        <v>0</v>
      </c>
      <c r="K229" s="210"/>
    </row>
    <row r="230" spans="1:11" x14ac:dyDescent="0.25">
      <c r="A230" s="387"/>
      <c r="B230" s="387"/>
      <c r="C230" s="387"/>
      <c r="D230" s="232" t="s">
        <v>18</v>
      </c>
      <c r="E230" s="207">
        <f t="shared" si="137"/>
        <v>0</v>
      </c>
      <c r="F230" s="207">
        <f t="shared" si="139"/>
        <v>0</v>
      </c>
      <c r="G230" s="207">
        <f t="shared" si="139"/>
        <v>0</v>
      </c>
      <c r="H230" s="207">
        <f t="shared" si="139"/>
        <v>0</v>
      </c>
      <c r="I230" s="207">
        <f t="shared" si="139"/>
        <v>0</v>
      </c>
      <c r="J230" s="207">
        <f t="shared" si="139"/>
        <v>0</v>
      </c>
      <c r="K230" s="210"/>
    </row>
    <row r="231" spans="1:11" ht="21.75" customHeight="1" x14ac:dyDescent="0.25">
      <c r="A231" s="217"/>
      <c r="B231" s="218"/>
      <c r="C231" s="219"/>
      <c r="D231" s="219"/>
      <c r="E231" s="219"/>
      <c r="F231" s="220"/>
      <c r="G231" s="220"/>
      <c r="H231" s="220"/>
      <c r="I231" s="220"/>
      <c r="J231" s="219"/>
    </row>
    <row r="232" spans="1:11" ht="24" hidden="1" customHeight="1" x14ac:dyDescent="0.25">
      <c r="A232" s="384" t="s">
        <v>100</v>
      </c>
      <c r="B232" s="384"/>
      <c r="C232" s="384"/>
      <c r="D232" s="384"/>
      <c r="E232" s="384"/>
      <c r="F232" s="384"/>
      <c r="G232" s="384"/>
      <c r="H232" s="384"/>
      <c r="I232" s="384"/>
      <c r="J232" s="384"/>
    </row>
    <row r="233" spans="1:11" ht="44.25" customHeight="1" x14ac:dyDescent="0.25">
      <c r="A233" s="384" t="s">
        <v>331</v>
      </c>
      <c r="B233" s="384"/>
      <c r="C233" s="384"/>
      <c r="D233" s="384"/>
      <c r="E233" s="384"/>
      <c r="F233" s="384"/>
      <c r="G233" s="384"/>
      <c r="H233" s="384"/>
      <c r="I233" s="384"/>
      <c r="J233" s="384"/>
    </row>
    <row r="234" spans="1:11" ht="45.75" customHeight="1" x14ac:dyDescent="0.25">
      <c r="A234" s="384" t="s">
        <v>332</v>
      </c>
      <c r="B234" s="384"/>
      <c r="C234" s="384"/>
      <c r="D234" s="384"/>
      <c r="E234" s="384"/>
      <c r="F234" s="384"/>
      <c r="G234" s="384"/>
      <c r="H234" s="384"/>
      <c r="I234" s="384"/>
      <c r="J234" s="384"/>
    </row>
    <row r="235" spans="1:11" ht="23.25" hidden="1" customHeight="1" x14ac:dyDescent="0.25">
      <c r="A235" s="384" t="s">
        <v>105</v>
      </c>
      <c r="B235" s="384"/>
      <c r="C235" s="384"/>
      <c r="D235" s="384"/>
      <c r="E235" s="384"/>
      <c r="F235" s="384"/>
      <c r="G235" s="384"/>
      <c r="H235" s="384"/>
      <c r="I235" s="384"/>
      <c r="J235" s="384"/>
    </row>
    <row r="236" spans="1:11" ht="23.25" hidden="1" customHeight="1" x14ac:dyDescent="0.25">
      <c r="A236" s="384" t="s">
        <v>102</v>
      </c>
      <c r="B236" s="384"/>
      <c r="C236" s="384"/>
      <c r="D236" s="384"/>
      <c r="E236" s="384"/>
      <c r="F236" s="384"/>
      <c r="G236" s="384"/>
      <c r="H236" s="384"/>
      <c r="I236" s="384"/>
      <c r="J236" s="384"/>
    </row>
    <row r="237" spans="1:11" ht="21.75" hidden="1" customHeight="1" x14ac:dyDescent="0.25">
      <c r="A237" s="384" t="s">
        <v>103</v>
      </c>
      <c r="B237" s="384"/>
      <c r="C237" s="384"/>
      <c r="D237" s="384"/>
      <c r="E237" s="384"/>
      <c r="F237" s="384"/>
      <c r="G237" s="384"/>
      <c r="H237" s="384"/>
      <c r="I237" s="384"/>
      <c r="J237" s="384"/>
    </row>
    <row r="238" spans="1:11" ht="18.75" customHeight="1" x14ac:dyDescent="0.25">
      <c r="E238" s="216"/>
      <c r="F238" s="221"/>
      <c r="G238" s="221"/>
      <c r="H238" s="221"/>
      <c r="I238" s="221"/>
      <c r="J238" s="216"/>
    </row>
    <row r="239" spans="1:11" ht="15" customHeight="1" x14ac:dyDescent="0.25">
      <c r="A239" s="15"/>
    </row>
    <row r="240" spans="1:11" ht="15.75" x14ac:dyDescent="0.25">
      <c r="A240" s="15"/>
    </row>
    <row r="241" spans="1:1" ht="15.75" x14ac:dyDescent="0.25">
      <c r="A241" s="15"/>
    </row>
    <row r="242" spans="1:1" ht="15.75" x14ac:dyDescent="0.25">
      <c r="A242" s="15"/>
    </row>
  </sheetData>
  <mergeCells count="82">
    <mergeCell ref="C37:C43"/>
    <mergeCell ref="C16:C22"/>
    <mergeCell ref="C23:C29"/>
    <mergeCell ref="A37:A43"/>
    <mergeCell ref="B37:B43"/>
    <mergeCell ref="B16:B22"/>
    <mergeCell ref="A16:A22"/>
    <mergeCell ref="B23:B29"/>
    <mergeCell ref="A23:A29"/>
    <mergeCell ref="A30:A36"/>
    <mergeCell ref="C30:C36"/>
    <mergeCell ref="B30:B36"/>
    <mergeCell ref="C52:C58"/>
    <mergeCell ref="A44:C50"/>
    <mergeCell ref="A2:J2"/>
    <mergeCell ref="A4:A6"/>
    <mergeCell ref="B4:B6"/>
    <mergeCell ref="C4:C6"/>
    <mergeCell ref="D4:D6"/>
    <mergeCell ref="E4:J4"/>
    <mergeCell ref="E5:J5"/>
    <mergeCell ref="A51:J51"/>
    <mergeCell ref="A52:A58"/>
    <mergeCell ref="B52:B58"/>
    <mergeCell ref="A8:J8"/>
    <mergeCell ref="A9:A15"/>
    <mergeCell ref="B9:B15"/>
    <mergeCell ref="C9:C15"/>
    <mergeCell ref="A59:A65"/>
    <mergeCell ref="B59:B65"/>
    <mergeCell ref="C59:C65"/>
    <mergeCell ref="A101:A107"/>
    <mergeCell ref="B101:B107"/>
    <mergeCell ref="C101:C107"/>
    <mergeCell ref="A66:A72"/>
    <mergeCell ref="B66:B72"/>
    <mergeCell ref="C66:C72"/>
    <mergeCell ref="A73:A100"/>
    <mergeCell ref="B73:B100"/>
    <mergeCell ref="C73:C79"/>
    <mergeCell ref="C80:C86"/>
    <mergeCell ref="C87:C93"/>
    <mergeCell ref="C94:C100"/>
    <mergeCell ref="A108:A114"/>
    <mergeCell ref="B108:B114"/>
    <mergeCell ref="C108:C114"/>
    <mergeCell ref="A144:A150"/>
    <mergeCell ref="B144:B150"/>
    <mergeCell ref="C144:C150"/>
    <mergeCell ref="A115:A121"/>
    <mergeCell ref="B115:B121"/>
    <mergeCell ref="C115:C121"/>
    <mergeCell ref="A122:A128"/>
    <mergeCell ref="B122:B128"/>
    <mergeCell ref="C122:C128"/>
    <mergeCell ref="A129:A135"/>
    <mergeCell ref="B129:B135"/>
    <mergeCell ref="C129:C135"/>
    <mergeCell ref="A136:C142"/>
    <mergeCell ref="A143:J143"/>
    <mergeCell ref="A151:A157"/>
    <mergeCell ref="B151:B157"/>
    <mergeCell ref="C151:C157"/>
    <mergeCell ref="A158:C164"/>
    <mergeCell ref="A165:C171"/>
    <mergeCell ref="A232:J232"/>
    <mergeCell ref="A172:C172"/>
    <mergeCell ref="A173:C179"/>
    <mergeCell ref="A180:C186"/>
    <mergeCell ref="A187:C187"/>
    <mergeCell ref="A188:C194"/>
    <mergeCell ref="A195:C201"/>
    <mergeCell ref="A202:C202"/>
    <mergeCell ref="A203:C209"/>
    <mergeCell ref="A210:C216"/>
    <mergeCell ref="A217:C223"/>
    <mergeCell ref="A224:C230"/>
    <mergeCell ref="A233:J233"/>
    <mergeCell ref="A234:J234"/>
    <mergeCell ref="A235:J235"/>
    <mergeCell ref="A236:J236"/>
    <mergeCell ref="A237:J237"/>
  </mergeCells>
  <pageMargins left="0.19685039370078741" right="0.19685039370078741" top="0.19685039370078741" bottom="0.19685039370078741" header="0" footer="0"/>
  <pageSetup paperSize="9" scale="59" fitToHeight="0" orientation="landscape" r:id="rId1"/>
  <rowBreaks count="4" manualBreakCount="4">
    <brk id="50" max="16383" man="1"/>
    <brk id="100" max="9" man="1"/>
    <brk id="157" max="9" man="1"/>
    <brk id="201" max="9"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0"/>
  <sheetViews>
    <sheetView topLeftCell="A12" zoomScale="85" zoomScaleNormal="85" workbookViewId="0">
      <selection activeCell="A15" sqref="A15:C15"/>
    </sheetView>
  </sheetViews>
  <sheetFormatPr defaultRowHeight="15" x14ac:dyDescent="0.25"/>
  <cols>
    <col min="1" max="1" width="14.140625" customWidth="1"/>
    <col min="2" max="2" width="60.140625" customWidth="1"/>
    <col min="3" max="3" width="40.7109375" customWidth="1"/>
    <col min="4" max="4" width="43" customWidth="1"/>
    <col min="5" max="5" width="16.7109375" customWidth="1"/>
    <col min="6" max="6" width="51.7109375" customWidth="1"/>
  </cols>
  <sheetData>
    <row r="1" spans="1:5" x14ac:dyDescent="0.25">
      <c r="D1" s="10" t="s">
        <v>78</v>
      </c>
    </row>
    <row r="2" spans="1:5" x14ac:dyDescent="0.25">
      <c r="A2" s="6"/>
    </row>
    <row r="3" spans="1:5" x14ac:dyDescent="0.25">
      <c r="A3" s="416" t="s">
        <v>79</v>
      </c>
      <c r="B3" s="416"/>
      <c r="C3" s="416"/>
      <c r="D3" s="416"/>
    </row>
    <row r="4" spans="1:5" ht="15.75" x14ac:dyDescent="0.25">
      <c r="A4" s="14"/>
    </row>
    <row r="5" spans="1:5" ht="15.75" x14ac:dyDescent="0.25">
      <c r="A5" s="15"/>
    </row>
    <row r="6" spans="1:5" ht="78.75" customHeight="1" x14ac:dyDescent="0.25">
      <c r="A6" s="235" t="s">
        <v>80</v>
      </c>
      <c r="B6" s="235" t="s">
        <v>81</v>
      </c>
      <c r="C6" s="235" t="s">
        <v>82</v>
      </c>
      <c r="D6" s="235" t="s">
        <v>340</v>
      </c>
      <c r="E6" s="7"/>
    </row>
    <row r="7" spans="1:5" x14ac:dyDescent="0.25">
      <c r="A7" s="235">
        <v>1</v>
      </c>
      <c r="B7" s="235">
        <v>2</v>
      </c>
      <c r="C7" s="235">
        <v>3</v>
      </c>
      <c r="D7" s="235">
        <v>4</v>
      </c>
      <c r="E7" s="7"/>
    </row>
    <row r="8" spans="1:5" s="2" customFormat="1" ht="41.25" customHeight="1" x14ac:dyDescent="0.25">
      <c r="A8" s="417" t="s">
        <v>342</v>
      </c>
      <c r="B8" s="417"/>
      <c r="C8" s="417"/>
      <c r="D8" s="417"/>
      <c r="E8" s="16"/>
    </row>
    <row r="9" spans="1:5" s="2" customFormat="1" ht="15.75" customHeight="1" x14ac:dyDescent="0.25">
      <c r="A9" s="417" t="s">
        <v>357</v>
      </c>
      <c r="B9" s="417"/>
      <c r="C9" s="417"/>
      <c r="D9" s="417"/>
      <c r="E9" s="16"/>
    </row>
    <row r="10" spans="1:5" s="2" customFormat="1" ht="16.5" customHeight="1" x14ac:dyDescent="0.25">
      <c r="A10" s="417" t="s">
        <v>343</v>
      </c>
      <c r="B10" s="417"/>
      <c r="C10" s="417"/>
      <c r="D10" s="417"/>
      <c r="E10" s="16"/>
    </row>
    <row r="11" spans="1:5" hidden="1" x14ac:dyDescent="0.25">
      <c r="A11" s="235"/>
      <c r="B11" s="236"/>
      <c r="C11" s="235"/>
      <c r="D11" s="235"/>
      <c r="E11" s="7"/>
    </row>
    <row r="12" spans="1:5" ht="149.25" customHeight="1" x14ac:dyDescent="0.25">
      <c r="A12" s="239" t="s">
        <v>83</v>
      </c>
      <c r="B12" s="240" t="s">
        <v>344</v>
      </c>
      <c r="C12" s="241" t="s">
        <v>304</v>
      </c>
      <c r="D12" s="237" t="s">
        <v>385</v>
      </c>
      <c r="E12" s="7"/>
    </row>
    <row r="13" spans="1:5" ht="45" x14ac:dyDescent="0.25">
      <c r="A13" s="239" t="s">
        <v>129</v>
      </c>
      <c r="B13" s="240" t="s">
        <v>345</v>
      </c>
      <c r="C13" s="241" t="s">
        <v>337</v>
      </c>
      <c r="D13" s="237"/>
      <c r="E13" s="7"/>
    </row>
    <row r="14" spans="1:5" ht="51.75" customHeight="1" x14ac:dyDescent="0.25">
      <c r="A14" s="239" t="s">
        <v>198</v>
      </c>
      <c r="B14" s="240" t="s">
        <v>346</v>
      </c>
      <c r="C14" s="241" t="s">
        <v>337</v>
      </c>
      <c r="D14" s="237"/>
      <c r="E14" s="7"/>
    </row>
    <row r="15" spans="1:5" ht="51.75" customHeight="1" x14ac:dyDescent="0.25">
      <c r="A15" s="287" t="s">
        <v>334</v>
      </c>
      <c r="B15" s="240" t="s">
        <v>392</v>
      </c>
      <c r="C15" s="241" t="s">
        <v>393</v>
      </c>
      <c r="D15" s="285"/>
      <c r="E15" s="7"/>
    </row>
    <row r="16" spans="1:5" ht="132.75" customHeight="1" x14ac:dyDescent="0.25">
      <c r="A16" s="239" t="s">
        <v>391</v>
      </c>
      <c r="B16" s="240" t="s">
        <v>347</v>
      </c>
      <c r="C16" s="241" t="s">
        <v>336</v>
      </c>
      <c r="D16" s="237" t="s">
        <v>384</v>
      </c>
      <c r="E16" s="7"/>
    </row>
    <row r="17" spans="1:5" s="2" customFormat="1" ht="32.25" customHeight="1" x14ac:dyDescent="0.25">
      <c r="A17" s="417" t="s">
        <v>348</v>
      </c>
      <c r="B17" s="417"/>
      <c r="C17" s="417"/>
      <c r="D17" s="417"/>
      <c r="E17" s="16"/>
    </row>
    <row r="18" spans="1:5" s="2" customFormat="1" ht="30" customHeight="1" x14ac:dyDescent="0.25">
      <c r="A18" s="417" t="s">
        <v>349</v>
      </c>
      <c r="B18" s="417"/>
      <c r="C18" s="417"/>
      <c r="D18" s="417"/>
      <c r="E18" s="16"/>
    </row>
    <row r="19" spans="1:5" ht="63.75" customHeight="1" x14ac:dyDescent="0.25">
      <c r="A19" s="235" t="s">
        <v>118</v>
      </c>
      <c r="B19" s="236" t="s">
        <v>350</v>
      </c>
      <c r="C19" s="238" t="s">
        <v>326</v>
      </c>
      <c r="D19" s="237"/>
    </row>
    <row r="20" spans="1:5" ht="56.25" customHeight="1" x14ac:dyDescent="0.25">
      <c r="A20" s="235" t="s">
        <v>119</v>
      </c>
      <c r="B20" s="240" t="s">
        <v>352</v>
      </c>
      <c r="C20" s="241" t="s">
        <v>395</v>
      </c>
      <c r="D20" s="237"/>
    </row>
    <row r="21" spans="1:5" ht="127.5" customHeight="1" x14ac:dyDescent="0.25">
      <c r="A21" s="235" t="s">
        <v>121</v>
      </c>
      <c r="B21" s="236" t="s">
        <v>351</v>
      </c>
      <c r="C21" s="237" t="s">
        <v>327</v>
      </c>
      <c r="D21" s="259" t="s">
        <v>383</v>
      </c>
    </row>
    <row r="22" spans="1:5" ht="130.5" customHeight="1" x14ac:dyDescent="0.25">
      <c r="A22" s="235" t="s">
        <v>122</v>
      </c>
      <c r="B22" s="236" t="s">
        <v>396</v>
      </c>
      <c r="C22" s="237" t="s">
        <v>328</v>
      </c>
      <c r="D22" s="259" t="s">
        <v>382</v>
      </c>
    </row>
    <row r="23" spans="1:5" ht="147.75" customHeight="1" x14ac:dyDescent="0.25">
      <c r="A23" s="235" t="s">
        <v>123</v>
      </c>
      <c r="B23" s="236" t="s">
        <v>373</v>
      </c>
      <c r="C23" s="237" t="s">
        <v>374</v>
      </c>
      <c r="D23" s="237"/>
    </row>
    <row r="24" spans="1:5" ht="144" customHeight="1" x14ac:dyDescent="0.25">
      <c r="A24" s="235" t="s">
        <v>301</v>
      </c>
      <c r="B24" s="236" t="s">
        <v>358</v>
      </c>
      <c r="C24" s="237" t="s">
        <v>147</v>
      </c>
      <c r="D24" s="237" t="s">
        <v>382</v>
      </c>
    </row>
    <row r="25" spans="1:5" ht="39" customHeight="1" x14ac:dyDescent="0.25">
      <c r="A25" s="239" t="s">
        <v>302</v>
      </c>
      <c r="B25" s="240" t="s">
        <v>359</v>
      </c>
      <c r="C25" s="241" t="s">
        <v>322</v>
      </c>
      <c r="D25" s="235"/>
    </row>
    <row r="26" spans="1:5" ht="132" customHeight="1" x14ac:dyDescent="0.25">
      <c r="A26" s="235" t="s">
        <v>303</v>
      </c>
      <c r="B26" s="236" t="s">
        <v>353</v>
      </c>
      <c r="C26" s="237" t="s">
        <v>325</v>
      </c>
      <c r="D26" s="259" t="s">
        <v>381</v>
      </c>
    </row>
    <row r="27" spans="1:5" s="2" customFormat="1" ht="33" customHeight="1" x14ac:dyDescent="0.25">
      <c r="A27" s="417" t="s">
        <v>356</v>
      </c>
      <c r="B27" s="417"/>
      <c r="C27" s="417"/>
      <c r="D27" s="417"/>
    </row>
    <row r="28" spans="1:5" s="2" customFormat="1" ht="18" customHeight="1" x14ac:dyDescent="0.25">
      <c r="A28" s="417" t="s">
        <v>305</v>
      </c>
      <c r="B28" s="417"/>
      <c r="C28" s="417"/>
      <c r="D28" s="417"/>
    </row>
    <row r="29" spans="1:5" ht="75" x14ac:dyDescent="0.25">
      <c r="A29" s="235" t="s">
        <v>126</v>
      </c>
      <c r="B29" s="236" t="s">
        <v>354</v>
      </c>
      <c r="C29" s="237" t="s">
        <v>323</v>
      </c>
      <c r="D29" s="242"/>
    </row>
    <row r="30" spans="1:5" ht="75" x14ac:dyDescent="0.25">
      <c r="A30" s="235" t="s">
        <v>127</v>
      </c>
      <c r="B30" s="236" t="s">
        <v>355</v>
      </c>
      <c r="C30" s="241" t="s">
        <v>324</v>
      </c>
      <c r="D30" s="242"/>
    </row>
  </sheetData>
  <mergeCells count="8">
    <mergeCell ref="A3:D3"/>
    <mergeCell ref="A8:D8"/>
    <mergeCell ref="A9:D9"/>
    <mergeCell ref="A27:D27"/>
    <mergeCell ref="A28:D28"/>
    <mergeCell ref="A18:D18"/>
    <mergeCell ref="A17:D17"/>
    <mergeCell ref="A10:D10"/>
  </mergeCells>
  <pageMargins left="0.70866141732283472" right="0.70866141732283472" top="0.74803149606299213" bottom="0.74803149606299213" header="0.31496062992125984" footer="0.31496062992125984"/>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A1:V25"/>
  <sheetViews>
    <sheetView zoomScale="80" zoomScaleNormal="80" workbookViewId="0">
      <selection activeCell="H18" sqref="H18"/>
    </sheetView>
  </sheetViews>
  <sheetFormatPr defaultRowHeight="15" x14ac:dyDescent="0.25"/>
  <cols>
    <col min="1" max="1" width="6.42578125" customWidth="1"/>
    <col min="2" max="2" width="28.28515625" customWidth="1"/>
    <col min="3" max="3" width="15.7109375" customWidth="1"/>
    <col min="4" max="4" width="15" customWidth="1"/>
    <col min="5" max="5" width="22.28515625" customWidth="1"/>
    <col min="6" max="6" width="18" customWidth="1"/>
    <col min="7" max="7" width="26.7109375" customWidth="1"/>
    <col min="8" max="10" width="19.42578125" customWidth="1"/>
    <col min="11" max="11" width="17.42578125" customWidth="1"/>
    <col min="12" max="12" width="16.85546875" customWidth="1"/>
    <col min="13" max="13" width="16.42578125" customWidth="1"/>
    <col min="14" max="14" width="21.28515625" customWidth="1"/>
    <col min="15" max="15" width="16.28515625" customWidth="1"/>
  </cols>
  <sheetData>
    <row r="1" spans="1:13" x14ac:dyDescent="0.25">
      <c r="L1" s="10" t="s">
        <v>70</v>
      </c>
    </row>
    <row r="2" spans="1:13" x14ac:dyDescent="0.25">
      <c r="A2" s="278"/>
      <c r="B2" s="57"/>
      <c r="C2" s="57"/>
      <c r="D2" s="57"/>
      <c r="E2" s="57"/>
      <c r="F2" s="57"/>
      <c r="G2" s="57"/>
      <c r="H2" s="57"/>
      <c r="I2" s="57"/>
      <c r="J2" s="57"/>
      <c r="K2" s="57"/>
      <c r="L2" s="57"/>
    </row>
    <row r="3" spans="1:13" ht="51" customHeight="1" x14ac:dyDescent="0.25">
      <c r="A3" s="431" t="s">
        <v>386</v>
      </c>
      <c r="B3" s="431"/>
      <c r="C3" s="431"/>
      <c r="D3" s="431"/>
      <c r="E3" s="431"/>
      <c r="F3" s="431"/>
      <c r="G3" s="431"/>
      <c r="H3" s="431"/>
      <c r="I3" s="431"/>
      <c r="J3" s="431"/>
      <c r="K3" s="431"/>
      <c r="L3" s="431"/>
    </row>
    <row r="4" spans="1:13" x14ac:dyDescent="0.25">
      <c r="A4" s="279"/>
      <c r="B4" s="57"/>
      <c r="C4" s="57"/>
      <c r="D4" s="57"/>
      <c r="E4" s="57"/>
      <c r="F4" s="57"/>
      <c r="G4" s="57"/>
      <c r="H4" s="57"/>
      <c r="I4" s="57"/>
      <c r="J4" s="57"/>
      <c r="K4" s="57"/>
      <c r="L4" s="57"/>
    </row>
    <row r="5" spans="1:13" ht="29.25" customHeight="1" x14ac:dyDescent="0.25">
      <c r="A5" s="432" t="s">
        <v>71</v>
      </c>
      <c r="B5" s="432" t="s">
        <v>72</v>
      </c>
      <c r="C5" s="432" t="s">
        <v>69</v>
      </c>
      <c r="D5" s="432" t="s">
        <v>73</v>
      </c>
      <c r="E5" s="432" t="s">
        <v>387</v>
      </c>
      <c r="F5" s="432" t="s">
        <v>376</v>
      </c>
      <c r="G5" s="432" t="s">
        <v>74</v>
      </c>
      <c r="H5" s="434" t="s">
        <v>377</v>
      </c>
      <c r="I5" s="435"/>
      <c r="J5" s="436"/>
      <c r="K5" s="432" t="s">
        <v>75</v>
      </c>
      <c r="L5" s="432" t="s">
        <v>76</v>
      </c>
    </row>
    <row r="6" spans="1:13" ht="69.75" customHeight="1" x14ac:dyDescent="0.25">
      <c r="A6" s="432"/>
      <c r="B6" s="432"/>
      <c r="C6" s="432"/>
      <c r="D6" s="432"/>
      <c r="E6" s="432"/>
      <c r="F6" s="432"/>
      <c r="G6" s="432"/>
      <c r="H6" s="239" t="s">
        <v>116</v>
      </c>
      <c r="I6" s="239" t="s">
        <v>280</v>
      </c>
      <c r="J6" s="256" t="s">
        <v>281</v>
      </c>
      <c r="K6" s="432"/>
      <c r="L6" s="432"/>
    </row>
    <row r="7" spans="1:13" x14ac:dyDescent="0.25">
      <c r="A7" s="239">
        <v>1</v>
      </c>
      <c r="B7" s="239">
        <v>2</v>
      </c>
      <c r="C7" s="239">
        <v>3</v>
      </c>
      <c r="D7" s="239">
        <v>4</v>
      </c>
      <c r="E7" s="239">
        <v>5</v>
      </c>
      <c r="F7" s="239">
        <v>6</v>
      </c>
      <c r="G7" s="239">
        <v>7</v>
      </c>
      <c r="H7" s="239">
        <v>8</v>
      </c>
      <c r="I7" s="239">
        <v>9</v>
      </c>
      <c r="J7" s="239">
        <v>10</v>
      </c>
      <c r="K7" s="239">
        <v>11</v>
      </c>
      <c r="L7" s="239">
        <v>12</v>
      </c>
    </row>
    <row r="8" spans="1:13" ht="21.75" customHeight="1" x14ac:dyDescent="0.25">
      <c r="A8" s="419" t="s">
        <v>378</v>
      </c>
      <c r="B8" s="420"/>
      <c r="C8" s="420"/>
      <c r="D8" s="420"/>
      <c r="E8" s="420"/>
      <c r="F8" s="421"/>
      <c r="G8" s="265" t="s">
        <v>12</v>
      </c>
      <c r="H8" s="286">
        <f>SUM(H9:H14)</f>
        <v>205948.45289999997</v>
      </c>
      <c r="I8" s="286">
        <f>SUM(I9:I14)</f>
        <v>100800</v>
      </c>
      <c r="J8" s="286">
        <f t="shared" ref="J8" si="0">SUM(J9:J14)</f>
        <v>100000</v>
      </c>
      <c r="K8" s="428" t="s">
        <v>180</v>
      </c>
      <c r="L8" s="428" t="s">
        <v>125</v>
      </c>
    </row>
    <row r="9" spans="1:13" x14ac:dyDescent="0.25">
      <c r="A9" s="422"/>
      <c r="B9" s="423"/>
      <c r="C9" s="423"/>
      <c r="D9" s="423"/>
      <c r="E9" s="423"/>
      <c r="F9" s="424"/>
      <c r="G9" s="266" t="s">
        <v>13</v>
      </c>
      <c r="H9" s="280" t="s">
        <v>201</v>
      </c>
      <c r="I9" s="280" t="s">
        <v>201</v>
      </c>
      <c r="J9" s="280" t="s">
        <v>201</v>
      </c>
      <c r="K9" s="428"/>
      <c r="L9" s="428"/>
    </row>
    <row r="10" spans="1:13" ht="30" x14ac:dyDescent="0.25">
      <c r="A10" s="422"/>
      <c r="B10" s="423"/>
      <c r="C10" s="423"/>
      <c r="D10" s="423"/>
      <c r="E10" s="423"/>
      <c r="F10" s="424"/>
      <c r="G10" s="266" t="s">
        <v>14</v>
      </c>
      <c r="H10" s="280" t="s">
        <v>201</v>
      </c>
      <c r="I10" s="280" t="s">
        <v>201</v>
      </c>
      <c r="J10" s="280" t="s">
        <v>201</v>
      </c>
      <c r="K10" s="428"/>
      <c r="L10" s="428"/>
    </row>
    <row r="11" spans="1:13" x14ac:dyDescent="0.25">
      <c r="A11" s="422"/>
      <c r="B11" s="423"/>
      <c r="C11" s="423"/>
      <c r="D11" s="423"/>
      <c r="E11" s="423"/>
      <c r="F11" s="424"/>
      <c r="G11" s="266" t="s">
        <v>15</v>
      </c>
      <c r="H11" s="280">
        <f>H18</f>
        <v>205948.45289999997</v>
      </c>
      <c r="I11" s="280">
        <f>I18</f>
        <v>100800</v>
      </c>
      <c r="J11" s="280">
        <f>J18</f>
        <v>100000</v>
      </c>
      <c r="K11" s="428"/>
      <c r="L11" s="428"/>
    </row>
    <row r="12" spans="1:13" ht="30" x14ac:dyDescent="0.25">
      <c r="A12" s="422"/>
      <c r="B12" s="423"/>
      <c r="C12" s="423"/>
      <c r="D12" s="423"/>
      <c r="E12" s="423"/>
      <c r="F12" s="424"/>
      <c r="G12" s="266" t="s">
        <v>379</v>
      </c>
      <c r="H12" s="280" t="s">
        <v>201</v>
      </c>
      <c r="I12" s="280" t="s">
        <v>201</v>
      </c>
      <c r="J12" s="280" t="s">
        <v>201</v>
      </c>
      <c r="K12" s="428"/>
      <c r="L12" s="428"/>
    </row>
    <row r="13" spans="1:13" x14ac:dyDescent="0.25">
      <c r="A13" s="422"/>
      <c r="B13" s="423"/>
      <c r="C13" s="423"/>
      <c r="D13" s="423"/>
      <c r="E13" s="423"/>
      <c r="F13" s="424"/>
      <c r="G13" s="266" t="s">
        <v>17</v>
      </c>
      <c r="H13" s="280" t="s">
        <v>201</v>
      </c>
      <c r="I13" s="280" t="s">
        <v>201</v>
      </c>
      <c r="J13" s="280" t="s">
        <v>201</v>
      </c>
      <c r="K13" s="428"/>
      <c r="L13" s="428"/>
    </row>
    <row r="14" spans="1:13" x14ac:dyDescent="0.25">
      <c r="A14" s="425"/>
      <c r="B14" s="426"/>
      <c r="C14" s="426"/>
      <c r="D14" s="426"/>
      <c r="E14" s="426"/>
      <c r="F14" s="427"/>
      <c r="G14" s="266" t="s">
        <v>195</v>
      </c>
      <c r="H14" s="280">
        <f>H21</f>
        <v>0</v>
      </c>
      <c r="I14" s="280">
        <f>I21</f>
        <v>0</v>
      </c>
      <c r="J14" s="280">
        <f>J21</f>
        <v>0</v>
      </c>
      <c r="K14" s="428"/>
      <c r="L14" s="428"/>
    </row>
    <row r="15" spans="1:13" ht="24.75" customHeight="1" x14ac:dyDescent="0.25">
      <c r="A15" s="429" t="s">
        <v>172</v>
      </c>
      <c r="B15" s="429" t="s">
        <v>333</v>
      </c>
      <c r="C15" s="429" t="s">
        <v>380</v>
      </c>
      <c r="D15" s="430" t="s">
        <v>339</v>
      </c>
      <c r="E15" s="433">
        <f>H15+I15+J15</f>
        <v>406748.45289999997</v>
      </c>
      <c r="F15" s="433">
        <f>E15</f>
        <v>406748.45289999997</v>
      </c>
      <c r="G15" s="265" t="s">
        <v>12</v>
      </c>
      <c r="H15" s="264">
        <f>SUM(H16:H21)</f>
        <v>205948.45289999997</v>
      </c>
      <c r="I15" s="264">
        <f>SUM(I16:I21)</f>
        <v>100800</v>
      </c>
      <c r="J15" s="264">
        <f t="shared" ref="J15" si="1">SUM(J16:J21)</f>
        <v>100000</v>
      </c>
      <c r="K15" s="428" t="s">
        <v>180</v>
      </c>
      <c r="L15" s="428" t="s">
        <v>125</v>
      </c>
      <c r="M15" s="243"/>
    </row>
    <row r="16" spans="1:13" x14ac:dyDescent="0.25">
      <c r="A16" s="429"/>
      <c r="B16" s="429"/>
      <c r="C16" s="429"/>
      <c r="D16" s="430"/>
      <c r="E16" s="433"/>
      <c r="F16" s="433"/>
      <c r="G16" s="266" t="s">
        <v>13</v>
      </c>
      <c r="H16" s="263" t="s">
        <v>201</v>
      </c>
      <c r="I16" s="263" t="s">
        <v>201</v>
      </c>
      <c r="J16" s="263" t="s">
        <v>201</v>
      </c>
      <c r="K16" s="428"/>
      <c r="L16" s="428"/>
    </row>
    <row r="17" spans="1:22" ht="30.75" customHeight="1" x14ac:dyDescent="0.25">
      <c r="A17" s="429"/>
      <c r="B17" s="429"/>
      <c r="C17" s="429"/>
      <c r="D17" s="430"/>
      <c r="E17" s="433"/>
      <c r="F17" s="433"/>
      <c r="G17" s="266" t="s">
        <v>14</v>
      </c>
      <c r="H17" s="263" t="s">
        <v>201</v>
      </c>
      <c r="I17" s="263" t="s">
        <v>201</v>
      </c>
      <c r="J17" s="263" t="s">
        <v>201</v>
      </c>
      <c r="K17" s="428"/>
      <c r="L17" s="428"/>
    </row>
    <row r="18" spans="1:22" ht="22.5" customHeight="1" x14ac:dyDescent="0.45">
      <c r="A18" s="429"/>
      <c r="B18" s="429"/>
      <c r="C18" s="429"/>
      <c r="D18" s="430"/>
      <c r="E18" s="433"/>
      <c r="F18" s="433"/>
      <c r="G18" s="266" t="s">
        <v>15</v>
      </c>
      <c r="H18" s="263">
        <f>'таблица 2 '!G19</f>
        <v>205948.45289999997</v>
      </c>
      <c r="I18" s="263">
        <f>100000+800</f>
        <v>100800</v>
      </c>
      <c r="J18" s="263">
        <v>100000</v>
      </c>
      <c r="K18" s="428"/>
      <c r="L18" s="428"/>
      <c r="M18" s="245"/>
      <c r="N18" s="258"/>
      <c r="O18" s="222"/>
      <c r="P18" s="222"/>
      <c r="Q18" s="222"/>
      <c r="R18" s="223"/>
      <c r="S18" s="223"/>
      <c r="T18" s="223"/>
      <c r="U18" s="223"/>
      <c r="V18" s="223"/>
    </row>
    <row r="19" spans="1:22" ht="30.75" customHeight="1" x14ac:dyDescent="0.25">
      <c r="A19" s="429"/>
      <c r="B19" s="429"/>
      <c r="C19" s="429"/>
      <c r="D19" s="430"/>
      <c r="E19" s="433"/>
      <c r="F19" s="433"/>
      <c r="G19" s="266" t="s">
        <v>379</v>
      </c>
      <c r="H19" s="263" t="s">
        <v>201</v>
      </c>
      <c r="I19" s="263" t="s">
        <v>201</v>
      </c>
      <c r="J19" s="263" t="s">
        <v>201</v>
      </c>
      <c r="K19" s="428"/>
      <c r="L19" s="428"/>
    </row>
    <row r="20" spans="1:22" ht="17.25" customHeight="1" x14ac:dyDescent="0.25">
      <c r="A20" s="429"/>
      <c r="B20" s="429"/>
      <c r="C20" s="429"/>
      <c r="D20" s="430"/>
      <c r="E20" s="433"/>
      <c r="F20" s="433"/>
      <c r="G20" s="266" t="s">
        <v>17</v>
      </c>
      <c r="H20" s="263" t="s">
        <v>201</v>
      </c>
      <c r="I20" s="263" t="s">
        <v>201</v>
      </c>
      <c r="J20" s="263" t="s">
        <v>201</v>
      </c>
      <c r="K20" s="428"/>
      <c r="L20" s="428"/>
      <c r="N20" s="244"/>
    </row>
    <row r="21" spans="1:22" x14ac:dyDescent="0.25">
      <c r="A21" s="429"/>
      <c r="B21" s="429"/>
      <c r="C21" s="429"/>
      <c r="D21" s="430"/>
      <c r="E21" s="433"/>
      <c r="F21" s="433"/>
      <c r="G21" s="266" t="s">
        <v>195</v>
      </c>
      <c r="H21" s="263">
        <v>0</v>
      </c>
      <c r="I21" s="263">
        <v>0</v>
      </c>
      <c r="J21" s="263">
        <v>0</v>
      </c>
      <c r="K21" s="428"/>
      <c r="L21" s="428"/>
      <c r="M21" s="244"/>
    </row>
    <row r="23" spans="1:22" ht="23.25" hidden="1" customHeight="1" x14ac:dyDescent="0.25">
      <c r="A23" s="418" t="s">
        <v>101</v>
      </c>
      <c r="B23" s="418"/>
      <c r="C23" s="418"/>
      <c r="D23" s="418"/>
      <c r="E23" s="418"/>
      <c r="F23" s="418"/>
      <c r="G23" s="418"/>
      <c r="H23" s="418"/>
      <c r="I23" s="418"/>
      <c r="J23" s="418"/>
    </row>
    <row r="24" spans="1:22" ht="37.5" hidden="1" customHeight="1" x14ac:dyDescent="0.25">
      <c r="A24" s="418" t="s">
        <v>104</v>
      </c>
      <c r="B24" s="418"/>
      <c r="C24" s="418"/>
      <c r="D24" s="418"/>
      <c r="E24" s="418"/>
      <c r="F24" s="418"/>
      <c r="G24" s="418"/>
      <c r="H24" s="418"/>
      <c r="I24" s="418"/>
      <c r="J24" s="418"/>
    </row>
    <row r="25" spans="1:22" x14ac:dyDescent="0.25">
      <c r="A25" s="56"/>
    </row>
  </sheetData>
  <mergeCells count="24">
    <mergeCell ref="L15:L21"/>
    <mergeCell ref="A3:L3"/>
    <mergeCell ref="G5:G6"/>
    <mergeCell ref="K5:K6"/>
    <mergeCell ref="L5:L6"/>
    <mergeCell ref="A5:A6"/>
    <mergeCell ref="B5:B6"/>
    <mergeCell ref="C5:C6"/>
    <mergeCell ref="D5:D6"/>
    <mergeCell ref="E5:E6"/>
    <mergeCell ref="F5:F6"/>
    <mergeCell ref="E15:E21"/>
    <mergeCell ref="L8:L14"/>
    <mergeCell ref="F15:F21"/>
    <mergeCell ref="K15:K21"/>
    <mergeCell ref="H5:J5"/>
    <mergeCell ref="A24:J24"/>
    <mergeCell ref="A23:J23"/>
    <mergeCell ref="A8:F14"/>
    <mergeCell ref="K8:K14"/>
    <mergeCell ref="A15:A21"/>
    <mergeCell ref="B15:B21"/>
    <mergeCell ref="C15:C21"/>
    <mergeCell ref="D15:D21"/>
  </mergeCells>
  <pageMargins left="0.70866141732283472" right="0.70866141732283472" top="0.74803149606299213" bottom="0.74803149606299213" header="0.31496062992125984" footer="0.31496062992125984"/>
  <pageSetup paperSize="9" scale="5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topLeftCell="A4" workbookViewId="0">
      <selection activeCell="E8" sqref="E8"/>
    </sheetView>
  </sheetViews>
  <sheetFormatPr defaultColWidth="9.140625" defaultRowHeight="15" x14ac:dyDescent="0.25"/>
  <cols>
    <col min="1" max="1" width="9.140625" style="12"/>
    <col min="2" max="2" width="17.42578125" style="12" customWidth="1"/>
    <col min="3" max="3" width="14.140625" style="12" customWidth="1"/>
    <col min="4" max="4" width="14.7109375" style="12" customWidth="1"/>
    <col min="5" max="5" width="17.28515625" style="12" customWidth="1"/>
    <col min="6" max="6" width="15.85546875" style="12" customWidth="1"/>
    <col min="7" max="7" width="22.85546875" style="12" customWidth="1"/>
    <col min="8" max="16384" width="9.140625" style="12"/>
  </cols>
  <sheetData>
    <row r="1" spans="1:7" x14ac:dyDescent="0.25">
      <c r="G1" s="13" t="s">
        <v>62</v>
      </c>
    </row>
    <row r="2" spans="1:7" x14ac:dyDescent="0.25">
      <c r="A2" s="13"/>
    </row>
    <row r="3" spans="1:7" x14ac:dyDescent="0.25">
      <c r="A3" s="437" t="s">
        <v>63</v>
      </c>
      <c r="B3" s="437"/>
      <c r="C3" s="437"/>
      <c r="D3" s="437"/>
      <c r="E3" s="437"/>
      <c r="F3" s="437"/>
      <c r="G3" s="437"/>
    </row>
    <row r="4" spans="1:7" x14ac:dyDescent="0.25">
      <c r="A4" s="13"/>
    </row>
    <row r="5" spans="1:7" ht="75" x14ac:dyDescent="0.25">
      <c r="A5" s="235" t="s">
        <v>5</v>
      </c>
      <c r="B5" s="235" t="s">
        <v>64</v>
      </c>
      <c r="C5" s="235" t="s">
        <v>69</v>
      </c>
      <c r="D5" s="235" t="s">
        <v>65</v>
      </c>
      <c r="E5" s="235" t="s">
        <v>66</v>
      </c>
      <c r="F5" s="235" t="s">
        <v>67</v>
      </c>
      <c r="G5" s="235" t="s">
        <v>68</v>
      </c>
    </row>
    <row r="6" spans="1:7" x14ac:dyDescent="0.25">
      <c r="A6" s="235">
        <v>1</v>
      </c>
      <c r="B6" s="235">
        <v>2</v>
      </c>
      <c r="C6" s="235">
        <v>3</v>
      </c>
      <c r="D6" s="235">
        <v>4</v>
      </c>
      <c r="E6" s="235">
        <v>5</v>
      </c>
      <c r="F6" s="235">
        <v>6</v>
      </c>
      <c r="G6" s="235">
        <v>7</v>
      </c>
    </row>
    <row r="7" spans="1:7" ht="138.75" customHeight="1" x14ac:dyDescent="0.25">
      <c r="A7" s="235">
        <v>1</v>
      </c>
      <c r="B7" s="235" t="s">
        <v>300</v>
      </c>
      <c r="C7" s="239">
        <v>298</v>
      </c>
      <c r="D7" s="235" t="s">
        <v>148</v>
      </c>
      <c r="E7" s="235" t="s">
        <v>339</v>
      </c>
      <c r="F7" s="235" t="s">
        <v>149</v>
      </c>
      <c r="G7" s="235" t="s">
        <v>294</v>
      </c>
    </row>
    <row r="8" spans="1:7" ht="131.25" customHeight="1" x14ac:dyDescent="0.25">
      <c r="A8" s="235">
        <v>2</v>
      </c>
      <c r="B8" s="282" t="s">
        <v>150</v>
      </c>
      <c r="C8" s="282" t="s">
        <v>388</v>
      </c>
      <c r="D8" s="282" t="s">
        <v>151</v>
      </c>
      <c r="E8" s="282" t="s">
        <v>389</v>
      </c>
      <c r="F8" s="235" t="s">
        <v>149</v>
      </c>
      <c r="G8" s="235" t="s">
        <v>295</v>
      </c>
    </row>
  </sheetData>
  <mergeCells count="1">
    <mergeCell ref="A3:G3"/>
  </mergeCells>
  <pageMargins left="0.70866141732283472" right="0.70866141732283472" top="0.74803149606299213" bottom="0.74803149606299213" header="0.31496062992125984" footer="0.31496062992125984"/>
  <pageSetup paperSize="9" scale="9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14999847407452621"/>
  </sheetPr>
  <dimension ref="A1:D9"/>
  <sheetViews>
    <sheetView workbookViewId="0">
      <selection activeCell="D8" sqref="D8"/>
    </sheetView>
  </sheetViews>
  <sheetFormatPr defaultColWidth="9.140625" defaultRowHeight="15" x14ac:dyDescent="0.25"/>
  <cols>
    <col min="1" max="1" width="9.140625" style="5"/>
    <col min="2" max="2" width="27.42578125" style="11" customWidth="1"/>
    <col min="3" max="3" width="27.140625" style="11" customWidth="1"/>
    <col min="4" max="4" width="32.85546875" style="11" customWidth="1"/>
    <col min="5" max="16384" width="9.140625" style="11"/>
  </cols>
  <sheetData>
    <row r="1" spans="1:4" x14ac:dyDescent="0.25">
      <c r="D1" s="10" t="s">
        <v>57</v>
      </c>
    </row>
    <row r="2" spans="1:4" x14ac:dyDescent="0.25">
      <c r="A2" s="416"/>
      <c r="B2" s="416"/>
      <c r="C2" s="416"/>
      <c r="D2" s="416"/>
    </row>
    <row r="3" spans="1:4" ht="52.5" customHeight="1" x14ac:dyDescent="0.25">
      <c r="A3" s="437" t="s">
        <v>61</v>
      </c>
      <c r="B3" s="437"/>
      <c r="C3" s="437"/>
      <c r="D3" s="437"/>
    </row>
    <row r="4" spans="1:4" x14ac:dyDescent="0.25">
      <c r="A4" s="416"/>
      <c r="B4" s="416"/>
      <c r="C4" s="416"/>
      <c r="D4" s="416"/>
    </row>
    <row r="5" spans="1:4" x14ac:dyDescent="0.25">
      <c r="A5" s="9"/>
    </row>
    <row r="6" spans="1:4" ht="90" x14ac:dyDescent="0.25">
      <c r="A6" s="246" t="s">
        <v>5</v>
      </c>
      <c r="B6" s="246" t="s">
        <v>58</v>
      </c>
      <c r="C6" s="246" t="s">
        <v>60</v>
      </c>
      <c r="D6" s="246" t="s">
        <v>59</v>
      </c>
    </row>
    <row r="7" spans="1:4" x14ac:dyDescent="0.25">
      <c r="A7" s="247">
        <v>1</v>
      </c>
      <c r="B7" s="247">
        <v>2</v>
      </c>
      <c r="C7" s="247">
        <v>3</v>
      </c>
      <c r="D7" s="247">
        <v>4</v>
      </c>
    </row>
    <row r="8" spans="1:4" x14ac:dyDescent="0.25">
      <c r="A8" s="248">
        <v>0</v>
      </c>
      <c r="B8" s="248">
        <v>0</v>
      </c>
      <c r="C8" s="249">
        <v>0</v>
      </c>
      <c r="D8" s="248">
        <v>0</v>
      </c>
    </row>
    <row r="9" spans="1:4" x14ac:dyDescent="0.25">
      <c r="A9" s="9"/>
    </row>
  </sheetData>
  <mergeCells count="3">
    <mergeCell ref="A2:D2"/>
    <mergeCell ref="A3:D3"/>
    <mergeCell ref="A4:D4"/>
  </mergeCell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1"/>
  <sheetViews>
    <sheetView workbookViewId="0">
      <selection activeCell="E24" sqref="E24"/>
    </sheetView>
  </sheetViews>
  <sheetFormatPr defaultColWidth="9.140625" defaultRowHeight="15" x14ac:dyDescent="0.25"/>
  <cols>
    <col min="1" max="1" width="7.28515625" style="11" customWidth="1"/>
    <col min="2" max="2" width="18" style="11" customWidth="1"/>
    <col min="3" max="3" width="16.5703125" style="11" customWidth="1"/>
    <col min="4" max="4" width="12.85546875" style="11" customWidth="1"/>
    <col min="5" max="5" width="18.42578125" style="11" customWidth="1"/>
    <col min="6" max="7" width="9.140625" style="11"/>
    <col min="8" max="8" width="9.5703125" style="11" customWidth="1"/>
    <col min="9" max="9" width="9.140625" style="11"/>
    <col min="10" max="10" width="11.7109375" style="11" customWidth="1"/>
    <col min="11" max="16384" width="9.140625" style="11"/>
  </cols>
  <sheetData>
    <row r="1" spans="1:10" x14ac:dyDescent="0.25">
      <c r="J1" s="10" t="s">
        <v>106</v>
      </c>
    </row>
    <row r="2" spans="1:10" x14ac:dyDescent="0.25">
      <c r="A2" s="6"/>
    </row>
    <row r="3" spans="1:10" ht="36" customHeight="1" x14ac:dyDescent="0.25">
      <c r="A3" s="437" t="s">
        <v>315</v>
      </c>
      <c r="B3" s="437"/>
      <c r="C3" s="437"/>
      <c r="D3" s="437"/>
      <c r="E3" s="437"/>
      <c r="F3" s="437"/>
      <c r="G3" s="437"/>
      <c r="H3" s="437"/>
      <c r="I3" s="437"/>
      <c r="J3" s="437"/>
    </row>
    <row r="4" spans="1:10" x14ac:dyDescent="0.25">
      <c r="A4" s="6"/>
    </row>
    <row r="5" spans="1:10" x14ac:dyDescent="0.25">
      <c r="A5" s="3"/>
    </row>
    <row r="6" spans="1:10" ht="90" customHeight="1" x14ac:dyDescent="0.25">
      <c r="A6" s="438" t="s">
        <v>107</v>
      </c>
      <c r="B6" s="438" t="s">
        <v>108</v>
      </c>
      <c r="C6" s="438" t="s">
        <v>109</v>
      </c>
      <c r="D6" s="438" t="s">
        <v>110</v>
      </c>
      <c r="E6" s="438" t="s">
        <v>316</v>
      </c>
      <c r="F6" s="438" t="s">
        <v>111</v>
      </c>
      <c r="G6" s="438"/>
      <c r="H6" s="438"/>
      <c r="I6" s="438"/>
      <c r="J6" s="438"/>
    </row>
    <row r="7" spans="1:10" x14ac:dyDescent="0.25">
      <c r="A7" s="438"/>
      <c r="B7" s="438"/>
      <c r="C7" s="438"/>
      <c r="D7" s="438"/>
      <c r="E7" s="438"/>
      <c r="F7" s="235" t="s">
        <v>115</v>
      </c>
      <c r="G7" s="235" t="s">
        <v>116</v>
      </c>
      <c r="H7" s="235" t="s">
        <v>280</v>
      </c>
      <c r="I7" s="235" t="s">
        <v>281</v>
      </c>
      <c r="J7" s="237" t="s">
        <v>312</v>
      </c>
    </row>
    <row r="8" spans="1:10" x14ac:dyDescent="0.25">
      <c r="A8" s="235">
        <v>1</v>
      </c>
      <c r="B8" s="235" t="s">
        <v>54</v>
      </c>
      <c r="C8" s="235" t="s">
        <v>54</v>
      </c>
      <c r="D8" s="235"/>
      <c r="E8" s="417" t="s">
        <v>112</v>
      </c>
      <c r="F8" s="417"/>
      <c r="G8" s="417"/>
      <c r="H8" s="417"/>
      <c r="I8" s="235"/>
      <c r="J8" s="237"/>
    </row>
    <row r="9" spans="1:10" x14ac:dyDescent="0.25">
      <c r="A9" s="250">
        <v>0</v>
      </c>
      <c r="B9" s="250">
        <v>0</v>
      </c>
      <c r="C9" s="250">
        <v>0</v>
      </c>
      <c r="D9" s="250">
        <v>0</v>
      </c>
      <c r="E9" s="250">
        <v>0</v>
      </c>
      <c r="F9" s="250">
        <v>0</v>
      </c>
      <c r="G9" s="250">
        <v>0</v>
      </c>
      <c r="H9" s="250">
        <v>0</v>
      </c>
      <c r="I9" s="250">
        <v>0</v>
      </c>
      <c r="J9" s="250">
        <v>0</v>
      </c>
    </row>
    <row r="10" spans="1:10" x14ac:dyDescent="0.25">
      <c r="A10" s="235" t="s">
        <v>54</v>
      </c>
      <c r="B10" s="251"/>
      <c r="C10" s="251"/>
      <c r="D10" s="235" t="s">
        <v>54</v>
      </c>
      <c r="E10" s="417" t="s">
        <v>113</v>
      </c>
      <c r="F10" s="417"/>
      <c r="G10" s="417"/>
      <c r="H10" s="417"/>
      <c r="I10" s="235"/>
      <c r="J10" s="235"/>
    </row>
    <row r="11" spans="1:10" x14ac:dyDescent="0.25">
      <c r="A11" s="250">
        <v>0</v>
      </c>
      <c r="B11" s="250">
        <v>0</v>
      </c>
      <c r="C11" s="250">
        <v>0</v>
      </c>
      <c r="D11" s="250">
        <v>0</v>
      </c>
      <c r="E11" s="250">
        <v>0</v>
      </c>
      <c r="F11" s="250">
        <v>0</v>
      </c>
      <c r="G11" s="250">
        <v>0</v>
      </c>
      <c r="H11" s="250">
        <v>0</v>
      </c>
      <c r="I11" s="250">
        <v>0</v>
      </c>
      <c r="J11" s="250">
        <v>0</v>
      </c>
    </row>
  </sheetData>
  <mergeCells count="9">
    <mergeCell ref="E8:H8"/>
    <mergeCell ref="E10:H10"/>
    <mergeCell ref="A3:J3"/>
    <mergeCell ref="A6:A7"/>
    <mergeCell ref="B6:B7"/>
    <mergeCell ref="C6:C7"/>
    <mergeCell ref="D6:D7"/>
    <mergeCell ref="E6:E7"/>
    <mergeCell ref="F6:J6"/>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00000"/>
    <pageSetUpPr fitToPage="1"/>
  </sheetPr>
  <dimension ref="A1:H18"/>
  <sheetViews>
    <sheetView tabSelected="1" view="pageBreakPreview" topLeftCell="A10" zoomScale="72" zoomScaleNormal="110" zoomScaleSheetLayoutView="72" workbookViewId="0">
      <selection activeCell="E9" sqref="E9:H10"/>
    </sheetView>
  </sheetViews>
  <sheetFormatPr defaultRowHeight="15" x14ac:dyDescent="0.25"/>
  <cols>
    <col min="1" max="1" width="5.5703125" customWidth="1"/>
    <col min="2" max="2" width="67.7109375" customWidth="1"/>
    <col min="3" max="3" width="18.85546875" customWidth="1"/>
    <col min="4" max="7" width="16" customWidth="1"/>
    <col min="8" max="8" width="23.140625" customWidth="1"/>
  </cols>
  <sheetData>
    <row r="1" spans="1:8" x14ac:dyDescent="0.25">
      <c r="H1" s="10" t="s">
        <v>49</v>
      </c>
    </row>
    <row r="2" spans="1:8" x14ac:dyDescent="0.25">
      <c r="A2" s="4"/>
    </row>
    <row r="3" spans="1:8" x14ac:dyDescent="0.25">
      <c r="A3" s="437" t="s">
        <v>50</v>
      </c>
      <c r="B3" s="437"/>
      <c r="C3" s="437"/>
      <c r="D3" s="437"/>
      <c r="E3" s="437"/>
      <c r="F3" s="437"/>
      <c r="G3" s="437"/>
      <c r="H3" s="437"/>
    </row>
    <row r="4" spans="1:8" x14ac:dyDescent="0.25">
      <c r="A4" s="3"/>
    </row>
    <row r="5" spans="1:8" x14ac:dyDescent="0.25">
      <c r="A5" s="3"/>
    </row>
    <row r="6" spans="1:8" ht="15" customHeight="1" x14ac:dyDescent="0.25">
      <c r="A6" s="438" t="s">
        <v>51</v>
      </c>
      <c r="B6" s="438" t="s">
        <v>192</v>
      </c>
      <c r="C6" s="438" t="s">
        <v>52</v>
      </c>
      <c r="D6" s="438" t="s">
        <v>6</v>
      </c>
      <c r="E6" s="438"/>
      <c r="F6" s="438"/>
      <c r="G6" s="438"/>
      <c r="H6" s="438" t="s">
        <v>53</v>
      </c>
    </row>
    <row r="7" spans="1:8" ht="87" customHeight="1" x14ac:dyDescent="0.25">
      <c r="A7" s="438"/>
      <c r="B7" s="438"/>
      <c r="C7" s="438"/>
      <c r="D7" s="235" t="s">
        <v>55</v>
      </c>
      <c r="E7" s="235" t="s">
        <v>56</v>
      </c>
      <c r="F7" s="235" t="s">
        <v>291</v>
      </c>
      <c r="G7" s="235" t="s">
        <v>292</v>
      </c>
      <c r="H7" s="438"/>
    </row>
    <row r="8" spans="1:8" x14ac:dyDescent="0.25">
      <c r="A8" s="235">
        <v>1</v>
      </c>
      <c r="B8" s="235">
        <v>2</v>
      </c>
      <c r="C8" s="235">
        <v>3</v>
      </c>
      <c r="D8" s="235">
        <v>4</v>
      </c>
      <c r="E8" s="235">
        <v>5</v>
      </c>
      <c r="F8" s="235">
        <v>6</v>
      </c>
      <c r="G8" s="252">
        <v>7</v>
      </c>
      <c r="H8" s="235">
        <v>8</v>
      </c>
    </row>
    <row r="9" spans="1:8" ht="44.25" customHeight="1" x14ac:dyDescent="0.25">
      <c r="A9" s="256" t="s">
        <v>172</v>
      </c>
      <c r="B9" s="257" t="s">
        <v>299</v>
      </c>
      <c r="C9" s="239">
        <v>2</v>
      </c>
      <c r="D9" s="239">
        <v>3</v>
      </c>
      <c r="E9" s="290">
        <v>0</v>
      </c>
      <c r="F9" s="290">
        <v>0</v>
      </c>
      <c r="G9" s="290">
        <v>0</v>
      </c>
      <c r="H9" s="290">
        <v>3</v>
      </c>
    </row>
    <row r="10" spans="1:8" ht="51.75" customHeight="1" x14ac:dyDescent="0.25">
      <c r="A10" s="256" t="s">
        <v>173</v>
      </c>
      <c r="B10" s="257" t="s">
        <v>330</v>
      </c>
      <c r="C10" s="239">
        <v>2</v>
      </c>
      <c r="D10" s="239">
        <v>4</v>
      </c>
      <c r="E10" s="290">
        <v>0</v>
      </c>
      <c r="F10" s="290">
        <v>0</v>
      </c>
      <c r="G10" s="290">
        <v>0</v>
      </c>
      <c r="H10" s="290">
        <v>4</v>
      </c>
    </row>
    <row r="11" spans="1:8" ht="42.75" customHeight="1" x14ac:dyDescent="0.25">
      <c r="A11" s="256" t="s">
        <v>191</v>
      </c>
      <c r="B11" s="257" t="s">
        <v>310</v>
      </c>
      <c r="C11" s="239">
        <v>38500</v>
      </c>
      <c r="D11" s="239">
        <v>46200</v>
      </c>
      <c r="E11" s="288">
        <v>48785</v>
      </c>
      <c r="F11" s="235">
        <v>53900</v>
      </c>
      <c r="G11" s="235">
        <v>53900</v>
      </c>
      <c r="H11" s="252">
        <v>53900</v>
      </c>
    </row>
    <row r="12" spans="1:8" ht="117" customHeight="1" x14ac:dyDescent="0.25">
      <c r="A12" s="256" t="s">
        <v>296</v>
      </c>
      <c r="B12" s="257" t="s">
        <v>311</v>
      </c>
      <c r="C12" s="239">
        <v>39</v>
      </c>
      <c r="D12" s="239">
        <v>51</v>
      </c>
      <c r="E12" s="235">
        <v>63</v>
      </c>
      <c r="F12" s="235">
        <v>63</v>
      </c>
      <c r="G12" s="235">
        <v>63</v>
      </c>
      <c r="H12" s="235">
        <v>63</v>
      </c>
    </row>
    <row r="13" spans="1:8" ht="111.75" customHeight="1" x14ac:dyDescent="0.25">
      <c r="A13" s="256" t="s">
        <v>297</v>
      </c>
      <c r="B13" s="257" t="s">
        <v>375</v>
      </c>
      <c r="C13" s="239">
        <v>1</v>
      </c>
      <c r="D13" s="239">
        <v>1</v>
      </c>
      <c r="E13" s="262">
        <v>1</v>
      </c>
      <c r="F13" s="262">
        <v>1</v>
      </c>
      <c r="G13" s="262">
        <v>1</v>
      </c>
      <c r="H13" s="262">
        <v>1</v>
      </c>
    </row>
    <row r="14" spans="1:8" ht="39.75" customHeight="1" x14ac:dyDescent="0.25">
      <c r="A14" s="256" t="s">
        <v>298</v>
      </c>
      <c r="B14" s="257" t="s">
        <v>293</v>
      </c>
      <c r="C14" s="239">
        <v>67</v>
      </c>
      <c r="D14" s="239">
        <v>73</v>
      </c>
      <c r="E14" s="239">
        <v>79</v>
      </c>
      <c r="F14" s="235">
        <v>85</v>
      </c>
      <c r="G14" s="235">
        <v>91</v>
      </c>
      <c r="H14" s="235">
        <v>110</v>
      </c>
    </row>
    <row r="15" spans="1:8" ht="82.5" customHeight="1" x14ac:dyDescent="0.25">
      <c r="A15" s="256" t="s">
        <v>306</v>
      </c>
      <c r="B15" s="257" t="s">
        <v>309</v>
      </c>
      <c r="C15" s="239">
        <v>1352</v>
      </c>
      <c r="D15" s="239">
        <v>1760</v>
      </c>
      <c r="E15" s="235">
        <v>1810</v>
      </c>
      <c r="F15" s="235">
        <v>1860</v>
      </c>
      <c r="G15" s="235">
        <v>1885</v>
      </c>
      <c r="H15" s="235">
        <v>1910</v>
      </c>
    </row>
    <row r="16" spans="1:8" ht="15.75" x14ac:dyDescent="0.25">
      <c r="H16" s="61" t="s">
        <v>341</v>
      </c>
    </row>
    <row r="18" spans="1:1" ht="19.5" x14ac:dyDescent="0.25">
      <c r="A18" s="8"/>
    </row>
  </sheetData>
  <mergeCells count="6">
    <mergeCell ref="A3:H3"/>
    <mergeCell ref="A6:A7"/>
    <mergeCell ref="B6:B7"/>
    <mergeCell ref="C6:C7"/>
    <mergeCell ref="H6:H7"/>
    <mergeCell ref="D6:G6"/>
  </mergeCells>
  <pageMargins left="0.70866141732283472" right="0.70866141732283472" top="0.74803149606299213" bottom="0.74803149606299213" header="0.31496062992125984" footer="0.31496062992125984"/>
  <pageSetup paperSize="9" scale="70"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371"/>
  <sheetViews>
    <sheetView topLeftCell="A41" workbookViewId="0">
      <selection activeCell="B65" sqref="B65:B71"/>
    </sheetView>
  </sheetViews>
  <sheetFormatPr defaultColWidth="9.140625" defaultRowHeight="15" x14ac:dyDescent="0.25"/>
  <cols>
    <col min="1" max="1" width="21" style="19" customWidth="1"/>
    <col min="2" max="2" width="27.140625" style="20" customWidth="1"/>
    <col min="3" max="3" width="23.140625" style="21" customWidth="1"/>
    <col min="4" max="4" width="37" style="21" customWidth="1"/>
    <col min="5" max="8" width="18.42578125" style="21" hidden="1" customWidth="1"/>
    <col min="9" max="9" width="17.28515625" style="21" bestFit="1" customWidth="1"/>
    <col min="10" max="11" width="17.28515625" style="21" customWidth="1"/>
    <col min="12" max="12" width="19.28515625" style="21" customWidth="1"/>
    <col min="13" max="16384" width="9.140625" style="21"/>
  </cols>
  <sheetData>
    <row r="1" spans="1:23" ht="15.75" x14ac:dyDescent="0.25">
      <c r="L1" s="22" t="s">
        <v>84</v>
      </c>
    </row>
    <row r="2" spans="1:23" x14ac:dyDescent="0.25">
      <c r="A2" s="439" t="s">
        <v>85</v>
      </c>
      <c r="B2" s="439"/>
      <c r="C2" s="439"/>
      <c r="D2" s="439"/>
      <c r="E2" s="439"/>
      <c r="F2" s="439"/>
      <c r="G2" s="439"/>
      <c r="H2" s="439"/>
      <c r="I2" s="439"/>
      <c r="J2" s="439"/>
      <c r="K2" s="439"/>
      <c r="L2" s="439"/>
    </row>
    <row r="3" spans="1:23" ht="15.75" x14ac:dyDescent="0.25">
      <c r="A3" s="23"/>
    </row>
    <row r="4" spans="1:23" ht="35.25" customHeight="1" x14ac:dyDescent="0.25">
      <c r="A4" s="440" t="s">
        <v>80</v>
      </c>
      <c r="B4" s="440" t="s">
        <v>86</v>
      </c>
      <c r="C4" s="440" t="s">
        <v>87</v>
      </c>
      <c r="D4" s="440" t="s">
        <v>9</v>
      </c>
      <c r="E4" s="440" t="s">
        <v>88</v>
      </c>
      <c r="F4" s="440"/>
      <c r="G4" s="440"/>
      <c r="H4" s="440"/>
      <c r="I4" s="440"/>
      <c r="J4" s="440"/>
      <c r="K4" s="440"/>
      <c r="L4" s="440"/>
    </row>
    <row r="5" spans="1:23" x14ac:dyDescent="0.25">
      <c r="A5" s="440"/>
      <c r="B5" s="440"/>
      <c r="C5" s="440"/>
      <c r="D5" s="440"/>
      <c r="E5" s="440" t="s">
        <v>77</v>
      </c>
      <c r="F5" s="440"/>
      <c r="G5" s="440"/>
      <c r="H5" s="440"/>
      <c r="I5" s="440"/>
      <c r="J5" s="440"/>
      <c r="K5" s="440"/>
      <c r="L5" s="440"/>
    </row>
    <row r="6" spans="1:23" x14ac:dyDescent="0.25">
      <c r="A6" s="440"/>
      <c r="B6" s="440"/>
      <c r="C6" s="440"/>
      <c r="D6" s="440"/>
      <c r="E6" s="84" t="s">
        <v>12</v>
      </c>
      <c r="F6" s="84" t="s">
        <v>138</v>
      </c>
      <c r="G6" s="84" t="s">
        <v>139</v>
      </c>
      <c r="H6" s="84" t="s">
        <v>140</v>
      </c>
      <c r="I6" s="84" t="s">
        <v>114</v>
      </c>
      <c r="J6" s="84" t="s">
        <v>115</v>
      </c>
      <c r="K6" s="84" t="s">
        <v>116</v>
      </c>
      <c r="L6" s="84" t="s">
        <v>117</v>
      </c>
    </row>
    <row r="7" spans="1:23" s="26" customFormat="1" ht="12" x14ac:dyDescent="0.2">
      <c r="A7" s="24">
        <v>1</v>
      </c>
      <c r="B7" s="25">
        <v>2</v>
      </c>
      <c r="C7" s="24">
        <v>3</v>
      </c>
      <c r="D7" s="24">
        <v>4</v>
      </c>
      <c r="E7" s="24">
        <v>5</v>
      </c>
      <c r="F7" s="24">
        <v>6</v>
      </c>
      <c r="G7" s="24">
        <v>7</v>
      </c>
      <c r="H7" s="24">
        <v>8</v>
      </c>
      <c r="I7" s="24">
        <v>9</v>
      </c>
      <c r="J7" s="24">
        <v>10</v>
      </c>
      <c r="K7" s="24">
        <v>11</v>
      </c>
      <c r="L7" s="24">
        <v>12</v>
      </c>
    </row>
    <row r="8" spans="1:23" x14ac:dyDescent="0.25">
      <c r="A8" s="441" t="s">
        <v>226</v>
      </c>
      <c r="B8" s="441"/>
      <c r="C8" s="441"/>
      <c r="D8" s="441"/>
      <c r="E8" s="441"/>
      <c r="F8" s="441"/>
      <c r="G8" s="441"/>
      <c r="H8" s="441"/>
      <c r="I8" s="441"/>
      <c r="J8" s="441"/>
      <c r="K8" s="441"/>
      <c r="L8" s="441"/>
    </row>
    <row r="9" spans="1:23" ht="15" hidden="1" customHeight="1" x14ac:dyDescent="0.25">
      <c r="A9" s="442"/>
      <c r="B9" s="443"/>
      <c r="C9" s="444"/>
      <c r="D9" s="85" t="s">
        <v>12</v>
      </c>
      <c r="E9" s="28">
        <f>SUM(F9:L9)</f>
        <v>0</v>
      </c>
      <c r="F9" s="28">
        <f t="shared" ref="F9:H9" si="0">SUM(F10:F15)</f>
        <v>0</v>
      </c>
      <c r="G9" s="28">
        <f t="shared" si="0"/>
        <v>0</v>
      </c>
      <c r="H9" s="28">
        <f t="shared" si="0"/>
        <v>0</v>
      </c>
      <c r="I9" s="28">
        <f>SUM(I10:I15)</f>
        <v>0</v>
      </c>
      <c r="J9" s="28">
        <f t="shared" ref="J9:L9" si="1">SUM(J10:J15)</f>
        <v>0</v>
      </c>
      <c r="K9" s="27">
        <f t="shared" si="1"/>
        <v>0</v>
      </c>
      <c r="L9" s="27">
        <f t="shared" si="1"/>
        <v>0</v>
      </c>
    </row>
    <row r="10" spans="1:23" ht="18.75" hidden="1" x14ac:dyDescent="0.3">
      <c r="A10" s="442"/>
      <c r="B10" s="443"/>
      <c r="C10" s="444"/>
      <c r="D10" s="85" t="s">
        <v>13</v>
      </c>
      <c r="E10" s="28">
        <f t="shared" ref="E10:E78" si="2">SUM(F10:L10)</f>
        <v>0</v>
      </c>
      <c r="F10" s="28"/>
      <c r="G10" s="28"/>
      <c r="H10" s="28"/>
      <c r="I10" s="28">
        <v>0</v>
      </c>
      <c r="J10" s="33">
        <v>0</v>
      </c>
      <c r="K10" s="27">
        <v>0</v>
      </c>
      <c r="L10" s="27">
        <v>0</v>
      </c>
      <c r="M10" s="81"/>
      <c r="N10" s="81"/>
      <c r="O10" s="81"/>
      <c r="P10" s="81"/>
      <c r="Q10" s="81"/>
      <c r="R10" s="81"/>
      <c r="S10" s="81"/>
      <c r="T10" s="81"/>
      <c r="U10" s="81"/>
      <c r="V10" s="29"/>
      <c r="W10" s="29"/>
    </row>
    <row r="11" spans="1:23" hidden="1" x14ac:dyDescent="0.25">
      <c r="A11" s="442"/>
      <c r="B11" s="443"/>
      <c r="C11" s="444"/>
      <c r="D11" s="85" t="s">
        <v>14</v>
      </c>
      <c r="E11" s="28">
        <f t="shared" si="2"/>
        <v>0</v>
      </c>
      <c r="F11" s="28">
        <v>0</v>
      </c>
      <c r="G11" s="28">
        <v>0</v>
      </c>
      <c r="H11" s="28">
        <v>0</v>
      </c>
      <c r="I11" s="28">
        <v>0</v>
      </c>
      <c r="J11" s="28">
        <v>0</v>
      </c>
      <c r="K11" s="28">
        <v>0</v>
      </c>
      <c r="L11" s="28">
        <v>0</v>
      </c>
    </row>
    <row r="12" spans="1:23" hidden="1" x14ac:dyDescent="0.25">
      <c r="A12" s="442"/>
      <c r="B12" s="443"/>
      <c r="C12" s="444"/>
      <c r="D12" s="85" t="s">
        <v>15</v>
      </c>
      <c r="E12" s="28">
        <f t="shared" si="2"/>
        <v>0</v>
      </c>
      <c r="F12" s="28">
        <v>0</v>
      </c>
      <c r="G12" s="28">
        <v>0</v>
      </c>
      <c r="H12" s="28">
        <v>0</v>
      </c>
      <c r="I12" s="28">
        <v>0</v>
      </c>
      <c r="J12" s="28">
        <v>0</v>
      </c>
      <c r="K12" s="28">
        <v>0</v>
      </c>
      <c r="L12" s="28">
        <v>0</v>
      </c>
    </row>
    <row r="13" spans="1:23" ht="30" hidden="1" x14ac:dyDescent="0.25">
      <c r="A13" s="442"/>
      <c r="B13" s="443"/>
      <c r="C13" s="444"/>
      <c r="D13" s="83" t="s">
        <v>89</v>
      </c>
      <c r="E13" s="28">
        <f t="shared" si="2"/>
        <v>0</v>
      </c>
      <c r="F13" s="28">
        <v>0</v>
      </c>
      <c r="G13" s="28">
        <v>0</v>
      </c>
      <c r="H13" s="28">
        <v>0</v>
      </c>
      <c r="I13" s="28">
        <v>0</v>
      </c>
      <c r="J13" s="28">
        <v>0</v>
      </c>
      <c r="K13" s="28">
        <v>0</v>
      </c>
      <c r="L13" s="28">
        <v>0</v>
      </c>
    </row>
    <row r="14" spans="1:23" hidden="1" x14ac:dyDescent="0.25">
      <c r="A14" s="442"/>
      <c r="B14" s="443"/>
      <c r="C14" s="444"/>
      <c r="D14" s="83" t="s">
        <v>90</v>
      </c>
      <c r="E14" s="28">
        <f t="shared" si="2"/>
        <v>0</v>
      </c>
      <c r="F14" s="28">
        <v>0</v>
      </c>
      <c r="G14" s="28">
        <v>0</v>
      </c>
      <c r="H14" s="28">
        <v>0</v>
      </c>
      <c r="I14" s="28">
        <v>0</v>
      </c>
      <c r="J14" s="28">
        <v>0</v>
      </c>
      <c r="K14" s="28">
        <v>0</v>
      </c>
      <c r="L14" s="28">
        <v>0</v>
      </c>
    </row>
    <row r="15" spans="1:23" hidden="1" x14ac:dyDescent="0.25">
      <c r="A15" s="442"/>
      <c r="B15" s="443"/>
      <c r="C15" s="444"/>
      <c r="D15" s="85" t="s">
        <v>18</v>
      </c>
      <c r="E15" s="28">
        <f t="shared" si="2"/>
        <v>0</v>
      </c>
      <c r="F15" s="28">
        <v>0</v>
      </c>
      <c r="G15" s="28">
        <v>0</v>
      </c>
      <c r="H15" s="28">
        <v>0</v>
      </c>
      <c r="I15" s="28">
        <v>0</v>
      </c>
      <c r="J15" s="28">
        <v>0</v>
      </c>
      <c r="K15" s="28">
        <v>0</v>
      </c>
      <c r="L15" s="28">
        <v>0</v>
      </c>
    </row>
    <row r="16" spans="1:23" ht="15" hidden="1" customHeight="1" x14ac:dyDescent="0.25">
      <c r="A16" s="442"/>
      <c r="B16" s="443"/>
      <c r="C16" s="444"/>
      <c r="D16" s="85" t="s">
        <v>12</v>
      </c>
      <c r="E16" s="28">
        <f t="shared" si="2"/>
        <v>0</v>
      </c>
      <c r="F16" s="28">
        <f t="shared" ref="F16:H16" si="3">SUM(F17:F22)</f>
        <v>0</v>
      </c>
      <c r="G16" s="28">
        <f t="shared" si="3"/>
        <v>0</v>
      </c>
      <c r="H16" s="28">
        <f t="shared" si="3"/>
        <v>0</v>
      </c>
      <c r="I16" s="28">
        <f>SUM(I17:I22)</f>
        <v>0</v>
      </c>
      <c r="J16" s="28">
        <f t="shared" ref="J16:L16" si="4">SUM(J17:J22)</f>
        <v>0</v>
      </c>
      <c r="K16" s="27">
        <f t="shared" si="4"/>
        <v>0</v>
      </c>
      <c r="L16" s="27">
        <f t="shared" si="4"/>
        <v>0</v>
      </c>
    </row>
    <row r="17" spans="1:12" x14ac:dyDescent="0.25">
      <c r="A17" s="442"/>
      <c r="B17" s="443"/>
      <c r="C17" s="444"/>
      <c r="D17" s="85" t="s">
        <v>13</v>
      </c>
      <c r="E17" s="28">
        <f t="shared" si="2"/>
        <v>0</v>
      </c>
      <c r="F17" s="28">
        <v>0</v>
      </c>
      <c r="G17" s="28">
        <v>0</v>
      </c>
      <c r="H17" s="28">
        <v>0</v>
      </c>
      <c r="I17" s="28">
        <v>0</v>
      </c>
      <c r="J17" s="33">
        <v>0</v>
      </c>
      <c r="K17" s="28">
        <v>0</v>
      </c>
      <c r="L17" s="28">
        <v>0</v>
      </c>
    </row>
    <row r="18" spans="1:12" x14ac:dyDescent="0.25">
      <c r="A18" s="442"/>
      <c r="B18" s="443"/>
      <c r="C18" s="444"/>
      <c r="D18" s="85" t="s">
        <v>14</v>
      </c>
      <c r="E18" s="28">
        <f t="shared" si="2"/>
        <v>0</v>
      </c>
      <c r="F18" s="28">
        <v>0</v>
      </c>
      <c r="G18" s="28">
        <v>0</v>
      </c>
      <c r="H18" s="28">
        <v>0</v>
      </c>
      <c r="I18" s="28">
        <v>0</v>
      </c>
      <c r="J18" s="28">
        <v>0</v>
      </c>
      <c r="K18" s="28">
        <v>0</v>
      </c>
      <c r="L18" s="28">
        <v>0</v>
      </c>
    </row>
    <row r="19" spans="1:12" x14ac:dyDescent="0.25">
      <c r="A19" s="442"/>
      <c r="B19" s="443"/>
      <c r="C19" s="444"/>
      <c r="D19" s="85" t="s">
        <v>15</v>
      </c>
      <c r="E19" s="28">
        <f t="shared" si="2"/>
        <v>0</v>
      </c>
      <c r="F19" s="28">
        <v>0</v>
      </c>
      <c r="G19" s="28">
        <v>0</v>
      </c>
      <c r="H19" s="28">
        <v>0</v>
      </c>
      <c r="I19" s="28">
        <v>0</v>
      </c>
      <c r="J19" s="28">
        <v>0</v>
      </c>
      <c r="K19" s="28">
        <v>0</v>
      </c>
      <c r="L19" s="28">
        <v>0</v>
      </c>
    </row>
    <row r="20" spans="1:12" ht="30" x14ac:dyDescent="0.25">
      <c r="A20" s="442"/>
      <c r="B20" s="443"/>
      <c r="C20" s="444"/>
      <c r="D20" s="83" t="s">
        <v>89</v>
      </c>
      <c r="E20" s="28">
        <f t="shared" si="2"/>
        <v>0</v>
      </c>
      <c r="F20" s="28">
        <v>0</v>
      </c>
      <c r="G20" s="28">
        <v>0</v>
      </c>
      <c r="H20" s="28">
        <v>0</v>
      </c>
      <c r="I20" s="28">
        <v>0</v>
      </c>
      <c r="J20" s="28">
        <v>0</v>
      </c>
      <c r="K20" s="28">
        <v>0</v>
      </c>
      <c r="L20" s="28">
        <v>0</v>
      </c>
    </row>
    <row r="21" spans="1:12" x14ac:dyDescent="0.25">
      <c r="A21" s="442"/>
      <c r="B21" s="443"/>
      <c r="C21" s="444"/>
      <c r="D21" s="83" t="s">
        <v>90</v>
      </c>
      <c r="E21" s="27">
        <f t="shared" si="2"/>
        <v>0</v>
      </c>
      <c r="F21" s="28">
        <v>0</v>
      </c>
      <c r="G21" s="28">
        <v>0</v>
      </c>
      <c r="H21" s="28">
        <v>0</v>
      </c>
      <c r="I21" s="28">
        <v>0</v>
      </c>
      <c r="J21" s="28">
        <v>0</v>
      </c>
      <c r="K21" s="28">
        <v>0</v>
      </c>
      <c r="L21" s="28">
        <v>0</v>
      </c>
    </row>
    <row r="22" spans="1:12" x14ac:dyDescent="0.25">
      <c r="A22" s="442"/>
      <c r="B22" s="443"/>
      <c r="C22" s="444"/>
      <c r="D22" s="85" t="s">
        <v>18</v>
      </c>
      <c r="E22" s="27">
        <f t="shared" si="2"/>
        <v>0</v>
      </c>
      <c r="F22" s="28">
        <v>0</v>
      </c>
      <c r="G22" s="28">
        <v>0</v>
      </c>
      <c r="H22" s="28">
        <v>0</v>
      </c>
      <c r="I22" s="28">
        <v>0</v>
      </c>
      <c r="J22" s="28">
        <v>0</v>
      </c>
      <c r="K22" s="28">
        <v>0</v>
      </c>
      <c r="L22" s="28">
        <v>0</v>
      </c>
    </row>
    <row r="23" spans="1:12" x14ac:dyDescent="0.25">
      <c r="A23" s="442"/>
      <c r="B23" s="443"/>
      <c r="C23" s="444"/>
      <c r="D23" s="85" t="s">
        <v>12</v>
      </c>
      <c r="E23" s="27">
        <f t="shared" si="2"/>
        <v>0</v>
      </c>
      <c r="F23" s="27">
        <f t="shared" ref="F23:H23" si="5">SUM(F24:F29)</f>
        <v>0</v>
      </c>
      <c r="G23" s="27">
        <f t="shared" si="5"/>
        <v>0</v>
      </c>
      <c r="H23" s="27">
        <f t="shared" si="5"/>
        <v>0</v>
      </c>
      <c r="I23" s="27">
        <f>SUM(I24:I29)</f>
        <v>0</v>
      </c>
      <c r="J23" s="27">
        <f t="shared" ref="J23:L23" si="6">SUM(J24:J29)</f>
        <v>0</v>
      </c>
      <c r="K23" s="27">
        <f t="shared" si="6"/>
        <v>0</v>
      </c>
      <c r="L23" s="27">
        <f t="shared" si="6"/>
        <v>0</v>
      </c>
    </row>
    <row r="24" spans="1:12" x14ac:dyDescent="0.25">
      <c r="A24" s="442"/>
      <c r="B24" s="443"/>
      <c r="C24" s="444"/>
      <c r="D24" s="85" t="s">
        <v>13</v>
      </c>
      <c r="E24" s="27">
        <f t="shared" si="2"/>
        <v>0</v>
      </c>
      <c r="F24" s="28">
        <v>0</v>
      </c>
      <c r="G24" s="28">
        <v>0</v>
      </c>
      <c r="H24" s="28">
        <v>0</v>
      </c>
      <c r="I24" s="28">
        <v>0</v>
      </c>
      <c r="J24" s="28">
        <v>0</v>
      </c>
      <c r="K24" s="28">
        <v>0</v>
      </c>
      <c r="L24" s="28">
        <v>0</v>
      </c>
    </row>
    <row r="25" spans="1:12" x14ac:dyDescent="0.25">
      <c r="A25" s="442"/>
      <c r="B25" s="443"/>
      <c r="C25" s="444"/>
      <c r="D25" s="85" t="s">
        <v>14</v>
      </c>
      <c r="E25" s="27">
        <f t="shared" si="2"/>
        <v>0</v>
      </c>
      <c r="F25" s="28">
        <v>0</v>
      </c>
      <c r="G25" s="28">
        <v>0</v>
      </c>
      <c r="H25" s="28">
        <v>0</v>
      </c>
      <c r="I25" s="28">
        <v>0</v>
      </c>
      <c r="J25" s="28">
        <v>0</v>
      </c>
      <c r="K25" s="28">
        <v>0</v>
      </c>
      <c r="L25" s="28">
        <v>0</v>
      </c>
    </row>
    <row r="26" spans="1:12" x14ac:dyDescent="0.25">
      <c r="A26" s="442"/>
      <c r="B26" s="443"/>
      <c r="C26" s="444"/>
      <c r="D26" s="85" t="s">
        <v>15</v>
      </c>
      <c r="E26" s="27">
        <f t="shared" si="2"/>
        <v>0</v>
      </c>
      <c r="F26" s="28">
        <v>0</v>
      </c>
      <c r="G26" s="28">
        <v>0</v>
      </c>
      <c r="H26" s="28">
        <v>0</v>
      </c>
      <c r="I26" s="28">
        <v>0</v>
      </c>
      <c r="J26" s="28">
        <v>0</v>
      </c>
      <c r="K26" s="28">
        <v>0</v>
      </c>
      <c r="L26" s="28">
        <v>0</v>
      </c>
    </row>
    <row r="27" spans="1:12" ht="30" x14ac:dyDescent="0.25">
      <c r="A27" s="442"/>
      <c r="B27" s="443"/>
      <c r="C27" s="444"/>
      <c r="D27" s="83" t="s">
        <v>89</v>
      </c>
      <c r="E27" s="27">
        <f t="shared" si="2"/>
        <v>0</v>
      </c>
      <c r="F27" s="28">
        <v>0</v>
      </c>
      <c r="G27" s="28">
        <v>0</v>
      </c>
      <c r="H27" s="28">
        <v>0</v>
      </c>
      <c r="I27" s="28">
        <v>0</v>
      </c>
      <c r="J27" s="28">
        <v>0</v>
      </c>
      <c r="K27" s="28">
        <v>0</v>
      </c>
      <c r="L27" s="28">
        <v>0</v>
      </c>
    </row>
    <row r="28" spans="1:12" x14ac:dyDescent="0.25">
      <c r="A28" s="442"/>
      <c r="B28" s="443"/>
      <c r="C28" s="444"/>
      <c r="D28" s="83" t="s">
        <v>90</v>
      </c>
      <c r="E28" s="27">
        <f t="shared" si="2"/>
        <v>0</v>
      </c>
      <c r="F28" s="28">
        <v>0</v>
      </c>
      <c r="G28" s="28">
        <v>0</v>
      </c>
      <c r="H28" s="28">
        <v>0</v>
      </c>
      <c r="I28" s="28">
        <v>0</v>
      </c>
      <c r="J28" s="28">
        <v>0</v>
      </c>
      <c r="K28" s="28">
        <v>0</v>
      </c>
      <c r="L28" s="28">
        <v>0</v>
      </c>
    </row>
    <row r="29" spans="1:12" x14ac:dyDescent="0.25">
      <c r="A29" s="442"/>
      <c r="B29" s="443"/>
      <c r="C29" s="444"/>
      <c r="D29" s="85" t="s">
        <v>18</v>
      </c>
      <c r="E29" s="27">
        <f t="shared" si="2"/>
        <v>0</v>
      </c>
      <c r="F29" s="28">
        <v>0</v>
      </c>
      <c r="G29" s="28">
        <v>0</v>
      </c>
      <c r="H29" s="28">
        <v>0</v>
      </c>
      <c r="I29" s="28">
        <v>0</v>
      </c>
      <c r="J29" s="28">
        <v>0</v>
      </c>
      <c r="K29" s="28">
        <v>0</v>
      </c>
      <c r="L29" s="28">
        <v>0</v>
      </c>
    </row>
    <row r="30" spans="1:12" x14ac:dyDescent="0.25">
      <c r="A30" s="442"/>
      <c r="B30" s="443" t="s">
        <v>181</v>
      </c>
      <c r="C30" s="444" t="s">
        <v>130</v>
      </c>
      <c r="D30" s="85" t="s">
        <v>12</v>
      </c>
      <c r="E30" s="27">
        <f t="shared" si="2"/>
        <v>0</v>
      </c>
      <c r="F30" s="27">
        <f t="shared" ref="F30:H30" si="7">SUM(F31:F36)</f>
        <v>0</v>
      </c>
      <c r="G30" s="27">
        <f t="shared" si="7"/>
        <v>0</v>
      </c>
      <c r="H30" s="27">
        <f t="shared" si="7"/>
        <v>0</v>
      </c>
      <c r="I30" s="27">
        <f>SUM(I31:I36)</f>
        <v>0</v>
      </c>
      <c r="J30" s="27">
        <f t="shared" ref="J30:L30" si="8">SUM(J31:J36)</f>
        <v>0</v>
      </c>
      <c r="K30" s="27">
        <f t="shared" si="8"/>
        <v>0</v>
      </c>
      <c r="L30" s="27">
        <f t="shared" si="8"/>
        <v>0</v>
      </c>
    </row>
    <row r="31" spans="1:12" x14ac:dyDescent="0.25">
      <c r="A31" s="442"/>
      <c r="B31" s="443"/>
      <c r="C31" s="444"/>
      <c r="D31" s="85" t="s">
        <v>13</v>
      </c>
      <c r="E31" s="27">
        <f t="shared" si="2"/>
        <v>0</v>
      </c>
      <c r="F31" s="28">
        <v>0</v>
      </c>
      <c r="G31" s="28">
        <v>0</v>
      </c>
      <c r="H31" s="28">
        <v>0</v>
      </c>
      <c r="I31" s="28">
        <v>0</v>
      </c>
      <c r="J31" s="28">
        <v>0</v>
      </c>
      <c r="K31" s="28">
        <v>0</v>
      </c>
      <c r="L31" s="28">
        <v>0</v>
      </c>
    </row>
    <row r="32" spans="1:12" x14ac:dyDescent="0.25">
      <c r="A32" s="442"/>
      <c r="B32" s="443"/>
      <c r="C32" s="444"/>
      <c r="D32" s="85" t="s">
        <v>14</v>
      </c>
      <c r="E32" s="27">
        <f t="shared" si="2"/>
        <v>0</v>
      </c>
      <c r="F32" s="28">
        <v>0</v>
      </c>
      <c r="G32" s="28">
        <v>0</v>
      </c>
      <c r="H32" s="28">
        <v>0</v>
      </c>
      <c r="I32" s="28">
        <v>0</v>
      </c>
      <c r="J32" s="28">
        <v>0</v>
      </c>
      <c r="K32" s="28">
        <v>0</v>
      </c>
      <c r="L32" s="28">
        <v>0</v>
      </c>
    </row>
    <row r="33" spans="1:12" x14ac:dyDescent="0.25">
      <c r="A33" s="442"/>
      <c r="B33" s="443"/>
      <c r="C33" s="444"/>
      <c r="D33" s="85" t="s">
        <v>15</v>
      </c>
      <c r="E33" s="27">
        <f t="shared" si="2"/>
        <v>0</v>
      </c>
      <c r="F33" s="28">
        <v>0</v>
      </c>
      <c r="G33" s="28">
        <v>0</v>
      </c>
      <c r="H33" s="28">
        <v>0</v>
      </c>
      <c r="I33" s="28">
        <v>0</v>
      </c>
      <c r="J33" s="28">
        <v>0</v>
      </c>
      <c r="K33" s="28">
        <v>0</v>
      </c>
      <c r="L33" s="28">
        <v>0</v>
      </c>
    </row>
    <row r="34" spans="1:12" ht="30" x14ac:dyDescent="0.25">
      <c r="A34" s="442"/>
      <c r="B34" s="443"/>
      <c r="C34" s="444"/>
      <c r="D34" s="83" t="s">
        <v>91</v>
      </c>
      <c r="E34" s="27">
        <f t="shared" si="2"/>
        <v>0</v>
      </c>
      <c r="F34" s="28">
        <v>0</v>
      </c>
      <c r="G34" s="28">
        <v>0</v>
      </c>
      <c r="H34" s="28">
        <v>0</v>
      </c>
      <c r="I34" s="28">
        <v>0</v>
      </c>
      <c r="J34" s="28">
        <v>0</v>
      </c>
      <c r="K34" s="28">
        <v>0</v>
      </c>
      <c r="L34" s="28">
        <v>0</v>
      </c>
    </row>
    <row r="35" spans="1:12" x14ac:dyDescent="0.25">
      <c r="A35" s="442"/>
      <c r="B35" s="443"/>
      <c r="C35" s="444"/>
      <c r="D35" s="83" t="s">
        <v>90</v>
      </c>
      <c r="E35" s="27">
        <f t="shared" si="2"/>
        <v>0</v>
      </c>
      <c r="F35" s="28">
        <v>0</v>
      </c>
      <c r="G35" s="28">
        <v>0</v>
      </c>
      <c r="H35" s="28">
        <v>0</v>
      </c>
      <c r="I35" s="28">
        <v>0</v>
      </c>
      <c r="J35" s="28">
        <v>0</v>
      </c>
      <c r="K35" s="28">
        <v>0</v>
      </c>
      <c r="L35" s="28">
        <v>0</v>
      </c>
    </row>
    <row r="36" spans="1:12" x14ac:dyDescent="0.25">
      <c r="A36" s="442"/>
      <c r="B36" s="443"/>
      <c r="C36" s="444"/>
      <c r="D36" s="85" t="s">
        <v>18</v>
      </c>
      <c r="E36" s="27">
        <f t="shared" si="2"/>
        <v>0</v>
      </c>
      <c r="F36" s="28">
        <v>0</v>
      </c>
      <c r="G36" s="28">
        <v>0</v>
      </c>
      <c r="H36" s="28">
        <v>0</v>
      </c>
      <c r="I36" s="28">
        <v>0</v>
      </c>
      <c r="J36" s="28">
        <v>0</v>
      </c>
      <c r="K36" s="28">
        <v>0</v>
      </c>
      <c r="L36" s="28">
        <v>0</v>
      </c>
    </row>
    <row r="37" spans="1:12" s="29" customFormat="1" x14ac:dyDescent="0.25">
      <c r="A37" s="448" t="s">
        <v>83</v>
      </c>
      <c r="B37" s="451" t="s">
        <v>182</v>
      </c>
      <c r="C37" s="454" t="s">
        <v>170</v>
      </c>
      <c r="D37" s="85" t="s">
        <v>12</v>
      </c>
      <c r="E37" s="28">
        <f t="shared" si="2"/>
        <v>1543552.2057899998</v>
      </c>
      <c r="F37" s="71">
        <f t="shared" ref="F37:H37" si="9">SUM(F38:F43)</f>
        <v>279492.61495000002</v>
      </c>
      <c r="G37" s="28">
        <f t="shared" si="9"/>
        <v>273706.81309000001</v>
      </c>
      <c r="H37" s="28">
        <f t="shared" si="9"/>
        <v>267212.29514</v>
      </c>
      <c r="I37" s="28">
        <f>SUM(I38:I43)</f>
        <v>508093.79960999999</v>
      </c>
      <c r="J37" s="28">
        <f t="shared" ref="J37:L37" si="10">SUM(J38:J43)</f>
        <v>171409.68299999999</v>
      </c>
      <c r="K37" s="28">
        <f t="shared" si="10"/>
        <v>3137</v>
      </c>
      <c r="L37" s="28">
        <f t="shared" si="10"/>
        <v>40500</v>
      </c>
    </row>
    <row r="38" spans="1:12" x14ac:dyDescent="0.25">
      <c r="A38" s="449"/>
      <c r="B38" s="452"/>
      <c r="C38" s="455"/>
      <c r="D38" s="85" t="s">
        <v>13</v>
      </c>
      <c r="E38" s="28">
        <f t="shared" si="2"/>
        <v>0</v>
      </c>
      <c r="F38" s="71">
        <f>F45+F52</f>
        <v>0</v>
      </c>
      <c r="G38" s="28">
        <f t="shared" ref="G38:L38" si="11">G45+G52</f>
        <v>0</v>
      </c>
      <c r="H38" s="28">
        <f t="shared" si="11"/>
        <v>0</v>
      </c>
      <c r="I38" s="28">
        <f t="shared" si="11"/>
        <v>0</v>
      </c>
      <c r="J38" s="28">
        <f t="shared" si="11"/>
        <v>0</v>
      </c>
      <c r="K38" s="28">
        <f t="shared" si="11"/>
        <v>0</v>
      </c>
      <c r="L38" s="28">
        <f t="shared" si="11"/>
        <v>0</v>
      </c>
    </row>
    <row r="39" spans="1:12" x14ac:dyDescent="0.25">
      <c r="A39" s="449"/>
      <c r="B39" s="452"/>
      <c r="C39" s="455"/>
      <c r="D39" s="85" t="s">
        <v>14</v>
      </c>
      <c r="E39" s="28">
        <f t="shared" si="2"/>
        <v>10044.5</v>
      </c>
      <c r="F39" s="71">
        <f t="shared" ref="F39:L43" si="12">F46+F53</f>
        <v>5644.5</v>
      </c>
      <c r="G39" s="28">
        <f t="shared" si="12"/>
        <v>4200</v>
      </c>
      <c r="H39" s="28">
        <f t="shared" si="12"/>
        <v>200</v>
      </c>
      <c r="I39" s="28">
        <f t="shared" si="12"/>
        <v>0</v>
      </c>
      <c r="J39" s="28">
        <f t="shared" si="12"/>
        <v>0</v>
      </c>
      <c r="K39" s="28">
        <f t="shared" si="12"/>
        <v>0</v>
      </c>
      <c r="L39" s="28">
        <f t="shared" si="12"/>
        <v>0</v>
      </c>
    </row>
    <row r="40" spans="1:12" x14ac:dyDescent="0.25">
      <c r="A40" s="449"/>
      <c r="B40" s="452"/>
      <c r="C40" s="455"/>
      <c r="D40" s="85" t="s">
        <v>15</v>
      </c>
      <c r="E40" s="28">
        <f t="shared" si="2"/>
        <v>832977.98682999995</v>
      </c>
      <c r="F40" s="71">
        <f t="shared" si="12"/>
        <v>273848.11495000002</v>
      </c>
      <c r="G40" s="28">
        <f t="shared" si="12"/>
        <v>269506.81309000001</v>
      </c>
      <c r="H40" s="28">
        <f t="shared" si="12"/>
        <v>267012.29514</v>
      </c>
      <c r="I40" s="28">
        <f t="shared" si="12"/>
        <v>22410.763649999997</v>
      </c>
      <c r="J40" s="28">
        <f t="shared" si="12"/>
        <v>200</v>
      </c>
      <c r="K40" s="28">
        <f t="shared" si="12"/>
        <v>0</v>
      </c>
      <c r="L40" s="28">
        <f t="shared" si="12"/>
        <v>0</v>
      </c>
    </row>
    <row r="41" spans="1:12" ht="30" x14ac:dyDescent="0.25">
      <c r="A41" s="449"/>
      <c r="B41" s="452"/>
      <c r="C41" s="455"/>
      <c r="D41" s="83" t="s">
        <v>91</v>
      </c>
      <c r="E41" s="28">
        <f t="shared" si="2"/>
        <v>0</v>
      </c>
      <c r="F41" s="71">
        <f t="shared" si="12"/>
        <v>0</v>
      </c>
      <c r="G41" s="28">
        <f>G48+G55</f>
        <v>0</v>
      </c>
      <c r="H41" s="28">
        <f t="shared" si="12"/>
        <v>0</v>
      </c>
      <c r="I41" s="28">
        <f t="shared" si="12"/>
        <v>0</v>
      </c>
      <c r="J41" s="28">
        <f t="shared" si="12"/>
        <v>0</v>
      </c>
      <c r="K41" s="28">
        <f t="shared" si="12"/>
        <v>0</v>
      </c>
      <c r="L41" s="28">
        <f t="shared" si="12"/>
        <v>0</v>
      </c>
    </row>
    <row r="42" spans="1:12" x14ac:dyDescent="0.25">
      <c r="A42" s="449"/>
      <c r="B42" s="452"/>
      <c r="C42" s="455"/>
      <c r="D42" s="83" t="s">
        <v>90</v>
      </c>
      <c r="E42" s="28">
        <f t="shared" si="2"/>
        <v>0</v>
      </c>
      <c r="F42" s="71">
        <f t="shared" si="12"/>
        <v>0</v>
      </c>
      <c r="G42" s="28">
        <f t="shared" si="12"/>
        <v>0</v>
      </c>
      <c r="H42" s="28">
        <f t="shared" si="12"/>
        <v>0</v>
      </c>
      <c r="I42" s="28">
        <f t="shared" si="12"/>
        <v>0</v>
      </c>
      <c r="J42" s="28">
        <f t="shared" si="12"/>
        <v>0</v>
      </c>
      <c r="K42" s="28">
        <f t="shared" si="12"/>
        <v>0</v>
      </c>
      <c r="L42" s="28">
        <f t="shared" si="12"/>
        <v>0</v>
      </c>
    </row>
    <row r="43" spans="1:12" x14ac:dyDescent="0.25">
      <c r="A43" s="449"/>
      <c r="B43" s="452"/>
      <c r="C43" s="456"/>
      <c r="D43" s="85" t="s">
        <v>18</v>
      </c>
      <c r="E43" s="28">
        <f t="shared" si="2"/>
        <v>700529.71895999997</v>
      </c>
      <c r="F43" s="71">
        <f t="shared" si="12"/>
        <v>0</v>
      </c>
      <c r="G43" s="28">
        <f t="shared" si="12"/>
        <v>0</v>
      </c>
      <c r="H43" s="28">
        <f t="shared" si="12"/>
        <v>0</v>
      </c>
      <c r="I43" s="28">
        <f t="shared" si="12"/>
        <v>485683.03596000001</v>
      </c>
      <c r="J43" s="28">
        <f t="shared" si="12"/>
        <v>171209.68299999999</v>
      </c>
      <c r="K43" s="28">
        <f t="shared" si="12"/>
        <v>3137</v>
      </c>
      <c r="L43" s="28">
        <f t="shared" si="12"/>
        <v>40500</v>
      </c>
    </row>
    <row r="44" spans="1:12" s="29" customFormat="1" x14ac:dyDescent="0.25">
      <c r="A44" s="449"/>
      <c r="B44" s="452"/>
      <c r="C44" s="457" t="s">
        <v>8</v>
      </c>
      <c r="D44" s="85" t="s">
        <v>12</v>
      </c>
      <c r="E44" s="28">
        <f>SUM(F44:L44)</f>
        <v>113443.28033000001</v>
      </c>
      <c r="F44" s="71">
        <f>SUM(F45:F50)</f>
        <v>14147.688</v>
      </c>
      <c r="G44" s="28">
        <f t="shared" ref="G44:H44" si="13">SUM(G45:G50)</f>
        <v>9544.8861399999987</v>
      </c>
      <c r="H44" s="28">
        <f t="shared" si="13"/>
        <v>3050.3681900000001</v>
      </c>
      <c r="I44" s="28">
        <f>SUM(I45:I50)</f>
        <v>25178.744999999999</v>
      </c>
      <c r="J44" s="28">
        <f t="shared" ref="J44:L44" si="14">SUM(J45:J50)</f>
        <v>17884.593000000001</v>
      </c>
      <c r="K44" s="28">
        <f t="shared" si="14"/>
        <v>3137</v>
      </c>
      <c r="L44" s="28">
        <f t="shared" si="14"/>
        <v>40500</v>
      </c>
    </row>
    <row r="45" spans="1:12" x14ac:dyDescent="0.25">
      <c r="A45" s="449"/>
      <c r="B45" s="452"/>
      <c r="C45" s="457"/>
      <c r="D45" s="85" t="s">
        <v>13</v>
      </c>
      <c r="E45" s="28">
        <f t="shared" si="2"/>
        <v>0</v>
      </c>
      <c r="F45" s="71">
        <v>0</v>
      </c>
      <c r="G45" s="28">
        <v>0</v>
      </c>
      <c r="H45" s="28">
        <v>0</v>
      </c>
      <c r="I45" s="28">
        <v>0</v>
      </c>
      <c r="J45" s="28">
        <v>0</v>
      </c>
      <c r="K45" s="28">
        <v>0</v>
      </c>
      <c r="L45" s="28">
        <v>0</v>
      </c>
    </row>
    <row r="46" spans="1:12" x14ac:dyDescent="0.25">
      <c r="A46" s="449"/>
      <c r="B46" s="452"/>
      <c r="C46" s="457"/>
      <c r="D46" s="85" t="s">
        <v>14</v>
      </c>
      <c r="E46" s="28">
        <f t="shared" si="2"/>
        <v>10044.5</v>
      </c>
      <c r="F46" s="71">
        <f>4070+750+824.5</f>
        <v>5644.5</v>
      </c>
      <c r="G46" s="28">
        <f>4100+100</f>
        <v>4200</v>
      </c>
      <c r="H46" s="28">
        <f>200</f>
        <v>200</v>
      </c>
      <c r="I46" s="28">
        <v>0</v>
      </c>
      <c r="J46" s="28">
        <v>0</v>
      </c>
      <c r="K46" s="28">
        <v>0</v>
      </c>
      <c r="L46" s="28">
        <v>0</v>
      </c>
    </row>
    <row r="47" spans="1:12" x14ac:dyDescent="0.25">
      <c r="A47" s="449"/>
      <c r="B47" s="452"/>
      <c r="C47" s="457"/>
      <c r="D47" s="85" t="s">
        <v>15</v>
      </c>
      <c r="E47" s="28">
        <f t="shared" si="2"/>
        <v>18506.078320000001</v>
      </c>
      <c r="F47" s="71">
        <v>8503.1880000000001</v>
      </c>
      <c r="G47" s="28">
        <v>5344.8861399999996</v>
      </c>
      <c r="H47" s="28">
        <f>1150.36819+1700</f>
        <v>2850.3681900000001</v>
      </c>
      <c r="I47" s="28">
        <f>1770.26099-162.625</f>
        <v>1607.63599</v>
      </c>
      <c r="J47" s="28">
        <v>200</v>
      </c>
      <c r="K47" s="28">
        <v>0</v>
      </c>
      <c r="L47" s="28">
        <v>0</v>
      </c>
    </row>
    <row r="48" spans="1:12" ht="30" x14ac:dyDescent="0.25">
      <c r="A48" s="449"/>
      <c r="B48" s="452"/>
      <c r="C48" s="457"/>
      <c r="D48" s="83" t="s">
        <v>91</v>
      </c>
      <c r="E48" s="28">
        <f t="shared" si="2"/>
        <v>0</v>
      </c>
      <c r="F48" s="71">
        <v>0</v>
      </c>
      <c r="G48" s="28">
        <v>0</v>
      </c>
      <c r="H48" s="28">
        <v>0</v>
      </c>
      <c r="I48" s="28">
        <v>0</v>
      </c>
      <c r="J48" s="28">
        <v>0</v>
      </c>
      <c r="K48" s="28">
        <v>0</v>
      </c>
      <c r="L48" s="28">
        <v>0</v>
      </c>
    </row>
    <row r="49" spans="1:12" x14ac:dyDescent="0.25">
      <c r="A49" s="449"/>
      <c r="B49" s="452"/>
      <c r="C49" s="457"/>
      <c r="D49" s="83" t="s">
        <v>90</v>
      </c>
      <c r="E49" s="28">
        <f t="shared" si="2"/>
        <v>0</v>
      </c>
      <c r="F49" s="71">
        <v>0</v>
      </c>
      <c r="G49" s="28">
        <v>0</v>
      </c>
      <c r="H49" s="28">
        <v>0</v>
      </c>
      <c r="I49" s="35">
        <v>0</v>
      </c>
      <c r="J49" s="28">
        <v>0</v>
      </c>
      <c r="K49" s="28">
        <v>0</v>
      </c>
      <c r="L49" s="18">
        <v>0</v>
      </c>
    </row>
    <row r="50" spans="1:12" x14ac:dyDescent="0.25">
      <c r="A50" s="449"/>
      <c r="B50" s="452"/>
      <c r="C50" s="457"/>
      <c r="D50" s="85" t="s">
        <v>18</v>
      </c>
      <c r="E50" s="28">
        <f t="shared" si="2"/>
        <v>84892.702010000008</v>
      </c>
      <c r="F50" s="71">
        <v>0</v>
      </c>
      <c r="G50" s="28">
        <v>0</v>
      </c>
      <c r="H50" s="28">
        <v>0</v>
      </c>
      <c r="I50" s="30">
        <f>25031.37-1460.26099</f>
        <v>23571.10901</v>
      </c>
      <c r="J50" s="31">
        <v>17684.593000000001</v>
      </c>
      <c r="K50" s="32">
        <v>3137</v>
      </c>
      <c r="L50" s="18">
        <v>40500</v>
      </c>
    </row>
    <row r="51" spans="1:12" s="29" customFormat="1" x14ac:dyDescent="0.25">
      <c r="A51" s="449"/>
      <c r="B51" s="452"/>
      <c r="C51" s="457" t="s">
        <v>176</v>
      </c>
      <c r="D51" s="85" t="s">
        <v>12</v>
      </c>
      <c r="E51" s="28">
        <f t="shared" si="2"/>
        <v>1430108.9254600001</v>
      </c>
      <c r="F51" s="71">
        <f t="shared" ref="F51:H51" si="15">SUM(F52:F57)</f>
        <v>265344.92694999999</v>
      </c>
      <c r="G51" s="28">
        <f t="shared" si="15"/>
        <v>264161.92694999999</v>
      </c>
      <c r="H51" s="28">
        <f t="shared" si="15"/>
        <v>264161.92694999999</v>
      </c>
      <c r="I51" s="34">
        <f>SUM(I52:I57)</f>
        <v>482915.05460999999</v>
      </c>
      <c r="J51" s="34">
        <f t="shared" ref="J51:L51" si="16">SUM(J52:J57)</f>
        <v>153525.09</v>
      </c>
      <c r="K51" s="34">
        <f t="shared" si="16"/>
        <v>0</v>
      </c>
      <c r="L51" s="28">
        <f t="shared" si="16"/>
        <v>0</v>
      </c>
    </row>
    <row r="52" spans="1:12" x14ac:dyDescent="0.25">
      <c r="A52" s="449"/>
      <c r="B52" s="452"/>
      <c r="C52" s="457"/>
      <c r="D52" s="85" t="s">
        <v>13</v>
      </c>
      <c r="E52" s="28">
        <f t="shared" si="2"/>
        <v>0</v>
      </c>
      <c r="F52" s="71">
        <v>0</v>
      </c>
      <c r="G52" s="28">
        <v>0</v>
      </c>
      <c r="H52" s="28">
        <v>0</v>
      </c>
      <c r="I52" s="28">
        <v>0</v>
      </c>
      <c r="J52" s="28">
        <v>0</v>
      </c>
      <c r="K52" s="28">
        <v>0</v>
      </c>
      <c r="L52" s="28">
        <v>0</v>
      </c>
    </row>
    <row r="53" spans="1:12" x14ac:dyDescent="0.25">
      <c r="A53" s="449"/>
      <c r="B53" s="452"/>
      <c r="C53" s="457"/>
      <c r="D53" s="85" t="s">
        <v>14</v>
      </c>
      <c r="E53" s="28">
        <f t="shared" si="2"/>
        <v>0</v>
      </c>
      <c r="F53" s="71">
        <v>0</v>
      </c>
      <c r="G53" s="28">
        <v>0</v>
      </c>
      <c r="H53" s="28">
        <v>0</v>
      </c>
      <c r="I53" s="27">
        <v>0</v>
      </c>
      <c r="J53" s="27">
        <v>0</v>
      </c>
      <c r="K53" s="27">
        <v>0</v>
      </c>
      <c r="L53" s="27">
        <v>0</v>
      </c>
    </row>
    <row r="54" spans="1:12" x14ac:dyDescent="0.25">
      <c r="A54" s="449"/>
      <c r="B54" s="452"/>
      <c r="C54" s="457"/>
      <c r="D54" s="85" t="s">
        <v>141</v>
      </c>
      <c r="E54" s="28">
        <f t="shared" si="2"/>
        <v>814471.90850999998</v>
      </c>
      <c r="F54" s="71">
        <f>284161.92695-18817</f>
        <v>265344.92694999999</v>
      </c>
      <c r="G54" s="28">
        <v>264161.92694999999</v>
      </c>
      <c r="H54" s="28">
        <f>264161.92695</f>
        <v>264161.92694999999</v>
      </c>
      <c r="I54" s="28">
        <f>12050+8753.12766</f>
        <v>20803.127659999998</v>
      </c>
      <c r="J54" s="27">
        <v>0</v>
      </c>
      <c r="K54" s="27">
        <v>0</v>
      </c>
      <c r="L54" s="27">
        <v>0</v>
      </c>
    </row>
    <row r="55" spans="1:12" ht="30" x14ac:dyDescent="0.25">
      <c r="A55" s="449"/>
      <c r="B55" s="452"/>
      <c r="C55" s="457"/>
      <c r="D55" s="83" t="s">
        <v>91</v>
      </c>
      <c r="E55" s="28">
        <f t="shared" si="2"/>
        <v>0</v>
      </c>
      <c r="F55" s="71">
        <v>0</v>
      </c>
      <c r="G55" s="28">
        <v>0</v>
      </c>
      <c r="H55" s="28">
        <v>0</v>
      </c>
      <c r="I55" s="27">
        <v>0</v>
      </c>
      <c r="J55" s="27">
        <v>0</v>
      </c>
      <c r="K55" s="27">
        <v>0</v>
      </c>
      <c r="L55" s="27">
        <v>0</v>
      </c>
    </row>
    <row r="56" spans="1:12" x14ac:dyDescent="0.25">
      <c r="A56" s="449"/>
      <c r="B56" s="452"/>
      <c r="C56" s="457"/>
      <c r="D56" s="83" t="s">
        <v>90</v>
      </c>
      <c r="E56" s="28">
        <f t="shared" si="2"/>
        <v>0</v>
      </c>
      <c r="F56" s="71">
        <v>0</v>
      </c>
      <c r="G56" s="28">
        <v>0</v>
      </c>
      <c r="H56" s="28">
        <v>0</v>
      </c>
      <c r="I56" s="27">
        <v>0</v>
      </c>
      <c r="J56" s="27">
        <v>0</v>
      </c>
      <c r="K56" s="27">
        <v>0</v>
      </c>
      <c r="L56" s="27">
        <v>0</v>
      </c>
    </row>
    <row r="57" spans="1:12" x14ac:dyDescent="0.25">
      <c r="A57" s="450"/>
      <c r="B57" s="453"/>
      <c r="C57" s="457"/>
      <c r="D57" s="85" t="s">
        <v>18</v>
      </c>
      <c r="E57" s="28">
        <f t="shared" si="2"/>
        <v>615637.01694999996</v>
      </c>
      <c r="F57" s="71">
        <v>0</v>
      </c>
      <c r="G57" s="28">
        <v>0</v>
      </c>
      <c r="H57" s="33">
        <v>0</v>
      </c>
      <c r="I57" s="28">
        <f>264161.92695+197950</f>
        <v>462111.92694999999</v>
      </c>
      <c r="J57" s="28">
        <v>153525.09</v>
      </c>
      <c r="K57" s="28">
        <v>0</v>
      </c>
      <c r="L57" s="28">
        <v>0</v>
      </c>
    </row>
    <row r="58" spans="1:12" x14ac:dyDescent="0.25">
      <c r="A58" s="442" t="s">
        <v>129</v>
      </c>
      <c r="B58" s="443" t="s">
        <v>183</v>
      </c>
      <c r="C58" s="445" t="s">
        <v>131</v>
      </c>
      <c r="D58" s="85" t="s">
        <v>12</v>
      </c>
      <c r="E58" s="28">
        <f t="shared" ref="E58:E64" si="17">SUM(F58:L58)</f>
        <v>2606.6852699999999</v>
      </c>
      <c r="F58" s="71">
        <f t="shared" ref="F58:H58" si="18">SUM(F59:F64)</f>
        <v>1167.1500000000001</v>
      </c>
      <c r="G58" s="28">
        <f t="shared" si="18"/>
        <v>485.97599999999994</v>
      </c>
      <c r="H58" s="28">
        <f t="shared" si="18"/>
        <v>953.55926999999997</v>
      </c>
      <c r="I58" s="28">
        <f>SUM(I59:I64)</f>
        <v>0</v>
      </c>
      <c r="J58" s="28">
        <f t="shared" ref="J58:L58" si="19">SUM(J59:J64)</f>
        <v>0</v>
      </c>
      <c r="K58" s="28">
        <f t="shared" si="19"/>
        <v>0</v>
      </c>
      <c r="L58" s="28">
        <f t="shared" si="19"/>
        <v>0</v>
      </c>
    </row>
    <row r="59" spans="1:12" x14ac:dyDescent="0.25">
      <c r="A59" s="442"/>
      <c r="B59" s="443"/>
      <c r="C59" s="446"/>
      <c r="D59" s="85" t="s">
        <v>13</v>
      </c>
      <c r="E59" s="28">
        <f t="shared" si="17"/>
        <v>0</v>
      </c>
      <c r="F59" s="71">
        <v>0</v>
      </c>
      <c r="G59" s="28">
        <v>0</v>
      </c>
      <c r="H59" s="28">
        <v>0</v>
      </c>
      <c r="I59" s="28">
        <v>0</v>
      </c>
      <c r="J59" s="28">
        <v>0</v>
      </c>
      <c r="K59" s="28">
        <v>0</v>
      </c>
      <c r="L59" s="28">
        <v>0</v>
      </c>
    </row>
    <row r="60" spans="1:12" x14ac:dyDescent="0.25">
      <c r="A60" s="442"/>
      <c r="B60" s="443"/>
      <c r="C60" s="446"/>
      <c r="D60" s="85" t="s">
        <v>14</v>
      </c>
      <c r="E60" s="35">
        <f t="shared" si="17"/>
        <v>0</v>
      </c>
      <c r="F60" s="71">
        <f>4668.6-4668.6</f>
        <v>0</v>
      </c>
      <c r="G60" s="28"/>
      <c r="H60" s="28"/>
      <c r="I60" s="28">
        <v>0</v>
      </c>
      <c r="J60" s="28"/>
      <c r="K60" s="28">
        <v>0</v>
      </c>
      <c r="L60" s="28">
        <v>0</v>
      </c>
    </row>
    <row r="61" spans="1:12" x14ac:dyDescent="0.25">
      <c r="A61" s="442"/>
      <c r="B61" s="443"/>
      <c r="C61" s="446"/>
      <c r="D61" s="85" t="s">
        <v>15</v>
      </c>
      <c r="E61" s="35">
        <f t="shared" si="17"/>
        <v>2606.6852699999999</v>
      </c>
      <c r="F61" s="72">
        <f>1167.15</f>
        <v>1167.1500000000001</v>
      </c>
      <c r="G61" s="17">
        <f>828.43-342.454</f>
        <v>485.97599999999994</v>
      </c>
      <c r="H61" s="17">
        <f>603.55927+350</f>
        <v>953.55926999999997</v>
      </c>
      <c r="I61" s="18">
        <v>0</v>
      </c>
      <c r="J61" s="28"/>
      <c r="K61" s="28">
        <v>0</v>
      </c>
      <c r="L61" s="28">
        <v>0</v>
      </c>
    </row>
    <row r="62" spans="1:12" ht="30" x14ac:dyDescent="0.25">
      <c r="A62" s="442"/>
      <c r="B62" s="443"/>
      <c r="C62" s="446"/>
      <c r="D62" s="83" t="s">
        <v>91</v>
      </c>
      <c r="E62" s="35">
        <f t="shared" si="17"/>
        <v>0</v>
      </c>
      <c r="F62" s="73">
        <v>0</v>
      </c>
      <c r="G62" s="34">
        <v>0</v>
      </c>
      <c r="H62" s="34">
        <v>0</v>
      </c>
      <c r="I62" s="28">
        <v>0</v>
      </c>
      <c r="J62" s="28">
        <v>0</v>
      </c>
      <c r="K62" s="28">
        <v>0</v>
      </c>
      <c r="L62" s="28">
        <v>0</v>
      </c>
    </row>
    <row r="63" spans="1:12" x14ac:dyDescent="0.25">
      <c r="A63" s="442"/>
      <c r="B63" s="443"/>
      <c r="C63" s="446"/>
      <c r="D63" s="83" t="s">
        <v>90</v>
      </c>
      <c r="E63" s="28">
        <f t="shared" si="17"/>
        <v>0</v>
      </c>
      <c r="F63" s="71">
        <v>0</v>
      </c>
      <c r="G63" s="28">
        <v>0</v>
      </c>
      <c r="H63" s="28">
        <v>0</v>
      </c>
      <c r="I63" s="28">
        <v>0</v>
      </c>
      <c r="J63" s="28">
        <v>0</v>
      </c>
      <c r="K63" s="28">
        <v>0</v>
      </c>
      <c r="L63" s="28">
        <v>0</v>
      </c>
    </row>
    <row r="64" spans="1:12" x14ac:dyDescent="0.25">
      <c r="A64" s="442"/>
      <c r="B64" s="443"/>
      <c r="C64" s="447"/>
      <c r="D64" s="85" t="s">
        <v>18</v>
      </c>
      <c r="E64" s="28">
        <f t="shared" si="17"/>
        <v>0</v>
      </c>
      <c r="F64" s="71">
        <v>0</v>
      </c>
      <c r="G64" s="28">
        <v>0</v>
      </c>
      <c r="H64" s="28">
        <v>0</v>
      </c>
      <c r="I64" s="28">
        <v>0</v>
      </c>
      <c r="J64" s="28">
        <v>0</v>
      </c>
      <c r="K64" s="28">
        <v>0</v>
      </c>
      <c r="L64" s="28">
        <v>0</v>
      </c>
    </row>
    <row r="65" spans="1:12" x14ac:dyDescent="0.25">
      <c r="A65" s="442" t="s">
        <v>198</v>
      </c>
      <c r="B65" s="443" t="s">
        <v>193</v>
      </c>
      <c r="C65" s="444" t="s">
        <v>194</v>
      </c>
      <c r="D65" s="85" t="s">
        <v>12</v>
      </c>
      <c r="E65" s="28">
        <f>SUM(F65:L65)</f>
        <v>14220.125</v>
      </c>
      <c r="F65" s="28">
        <f t="shared" ref="F65:H65" si="20">SUM(F66:F71)</f>
        <v>0</v>
      </c>
      <c r="G65" s="28">
        <f t="shared" si="20"/>
        <v>0</v>
      </c>
      <c r="H65" s="28">
        <f t="shared" si="20"/>
        <v>0</v>
      </c>
      <c r="I65" s="28">
        <f>SUM(I66:I71)</f>
        <v>5000</v>
      </c>
      <c r="J65" s="28">
        <f t="shared" ref="J65:L65" si="21">SUM(J66:J71)</f>
        <v>9220.125</v>
      </c>
      <c r="K65" s="27">
        <f t="shared" si="21"/>
        <v>0</v>
      </c>
      <c r="L65" s="27">
        <f t="shared" si="21"/>
        <v>0</v>
      </c>
    </row>
    <row r="66" spans="1:12" x14ac:dyDescent="0.25">
      <c r="A66" s="442"/>
      <c r="B66" s="443"/>
      <c r="C66" s="444"/>
      <c r="D66" s="85" t="s">
        <v>13</v>
      </c>
      <c r="E66" s="28">
        <f t="shared" ref="E66:E71" si="22">SUM(F66:L66)</f>
        <v>8120</v>
      </c>
      <c r="F66" s="28">
        <v>0</v>
      </c>
      <c r="G66" s="28">
        <v>0</v>
      </c>
      <c r="H66" s="28">
        <v>0</v>
      </c>
      <c r="I66" s="28">
        <v>5000</v>
      </c>
      <c r="J66" s="33">
        <v>3120</v>
      </c>
      <c r="K66" s="27">
        <v>0</v>
      </c>
      <c r="L66" s="27">
        <v>0</v>
      </c>
    </row>
    <row r="67" spans="1:12" x14ac:dyDescent="0.25">
      <c r="A67" s="442"/>
      <c r="B67" s="443"/>
      <c r="C67" s="444"/>
      <c r="D67" s="85" t="s">
        <v>14</v>
      </c>
      <c r="E67" s="28">
        <f t="shared" si="22"/>
        <v>4880.1000000000004</v>
      </c>
      <c r="F67" s="28">
        <v>0</v>
      </c>
      <c r="G67" s="28">
        <v>0</v>
      </c>
      <c r="H67" s="28">
        <v>0</v>
      </c>
      <c r="I67" s="28">
        <v>0</v>
      </c>
      <c r="J67" s="28">
        <v>4880.1000000000004</v>
      </c>
      <c r="K67" s="28">
        <v>0</v>
      </c>
      <c r="L67" s="28">
        <v>0</v>
      </c>
    </row>
    <row r="68" spans="1:12" x14ac:dyDescent="0.25">
      <c r="A68" s="442"/>
      <c r="B68" s="443"/>
      <c r="C68" s="444"/>
      <c r="D68" s="85" t="s">
        <v>15</v>
      </c>
      <c r="E68" s="28">
        <f t="shared" si="22"/>
        <v>1220.0250000000001</v>
      </c>
      <c r="F68" s="28">
        <v>0</v>
      </c>
      <c r="G68" s="28">
        <v>0</v>
      </c>
      <c r="H68" s="28">
        <v>0</v>
      </c>
      <c r="I68" s="28">
        <v>0</v>
      </c>
      <c r="J68" s="28">
        <v>1220.0250000000001</v>
      </c>
      <c r="K68" s="28">
        <v>0</v>
      </c>
      <c r="L68" s="28">
        <v>0</v>
      </c>
    </row>
    <row r="69" spans="1:12" ht="30" x14ac:dyDescent="0.25">
      <c r="A69" s="442"/>
      <c r="B69" s="443"/>
      <c r="C69" s="444"/>
      <c r="D69" s="83" t="s">
        <v>89</v>
      </c>
      <c r="E69" s="28">
        <f t="shared" si="22"/>
        <v>0</v>
      </c>
      <c r="F69" s="28">
        <v>0</v>
      </c>
      <c r="G69" s="28">
        <v>0</v>
      </c>
      <c r="H69" s="28">
        <v>0</v>
      </c>
      <c r="I69" s="28">
        <v>0</v>
      </c>
      <c r="J69" s="28">
        <v>0</v>
      </c>
      <c r="K69" s="28">
        <v>0</v>
      </c>
      <c r="L69" s="28">
        <v>0</v>
      </c>
    </row>
    <row r="70" spans="1:12" x14ac:dyDescent="0.25">
      <c r="A70" s="442"/>
      <c r="B70" s="443"/>
      <c r="C70" s="444"/>
      <c r="D70" s="83" t="s">
        <v>90</v>
      </c>
      <c r="E70" s="28">
        <f t="shared" si="22"/>
        <v>0</v>
      </c>
      <c r="F70" s="28">
        <v>0</v>
      </c>
      <c r="G70" s="28">
        <v>0</v>
      </c>
      <c r="H70" s="28">
        <v>0</v>
      </c>
      <c r="I70" s="28">
        <v>0</v>
      </c>
      <c r="J70" s="28">
        <v>0</v>
      </c>
      <c r="K70" s="28">
        <v>0</v>
      </c>
      <c r="L70" s="28">
        <v>0</v>
      </c>
    </row>
    <row r="71" spans="1:12" x14ac:dyDescent="0.25">
      <c r="A71" s="442"/>
      <c r="B71" s="443"/>
      <c r="C71" s="444"/>
      <c r="D71" s="85" t="s">
        <v>18</v>
      </c>
      <c r="E71" s="28">
        <f t="shared" si="22"/>
        <v>0</v>
      </c>
      <c r="F71" s="28">
        <v>0</v>
      </c>
      <c r="G71" s="28">
        <v>0</v>
      </c>
      <c r="H71" s="28">
        <v>0</v>
      </c>
      <c r="I71" s="28">
        <v>0</v>
      </c>
      <c r="J71" s="28">
        <v>0</v>
      </c>
      <c r="K71" s="28">
        <v>0</v>
      </c>
      <c r="L71" s="28">
        <v>0</v>
      </c>
    </row>
    <row r="72" spans="1:12" s="29" customFormat="1" x14ac:dyDescent="0.25">
      <c r="A72" s="458" t="s">
        <v>92</v>
      </c>
      <c r="B72" s="459"/>
      <c r="C72" s="460"/>
      <c r="D72" s="85" t="s">
        <v>12</v>
      </c>
      <c r="E72" s="28">
        <f>SUM(F72:L72)</f>
        <v>1560379.0160600001</v>
      </c>
      <c r="F72" s="71">
        <f t="shared" ref="F72:H72" si="23">SUM(F73:F78)</f>
        <v>280659.76495000004</v>
      </c>
      <c r="G72" s="28">
        <f t="shared" si="23"/>
        <v>274192.78909000003</v>
      </c>
      <c r="H72" s="28">
        <f t="shared" si="23"/>
        <v>268165.85441000003</v>
      </c>
      <c r="I72" s="28">
        <f>SUM(I73:I78)</f>
        <v>513093.79960999999</v>
      </c>
      <c r="J72" s="28">
        <f t="shared" ref="J72:L72" si="24">SUM(J73:J78)</f>
        <v>180629.80799999999</v>
      </c>
      <c r="K72" s="28">
        <f t="shared" si="24"/>
        <v>3137</v>
      </c>
      <c r="L72" s="28">
        <f t="shared" si="24"/>
        <v>40500</v>
      </c>
    </row>
    <row r="73" spans="1:12" s="29" customFormat="1" x14ac:dyDescent="0.25">
      <c r="A73" s="461"/>
      <c r="B73" s="462"/>
      <c r="C73" s="463"/>
      <c r="D73" s="85" t="s">
        <v>13</v>
      </c>
      <c r="E73" s="28">
        <f t="shared" si="2"/>
        <v>8120</v>
      </c>
      <c r="F73" s="71">
        <f>F66+F17+F31+F38+F59+F24</f>
        <v>0</v>
      </c>
      <c r="G73" s="28">
        <f>G66+G17+G31+G38+G59+G24</f>
        <v>0</v>
      </c>
      <c r="H73" s="28">
        <f t="shared" ref="H73:L73" si="25">H66+H17+H31+H38+H59+H24</f>
        <v>0</v>
      </c>
      <c r="I73" s="28">
        <f t="shared" si="25"/>
        <v>5000</v>
      </c>
      <c r="J73" s="28">
        <f t="shared" si="25"/>
        <v>3120</v>
      </c>
      <c r="K73" s="28">
        <f t="shared" si="25"/>
        <v>0</v>
      </c>
      <c r="L73" s="28">
        <f t="shared" si="25"/>
        <v>0</v>
      </c>
    </row>
    <row r="74" spans="1:12" s="29" customFormat="1" x14ac:dyDescent="0.25">
      <c r="A74" s="461"/>
      <c r="B74" s="462"/>
      <c r="C74" s="463"/>
      <c r="D74" s="85" t="s">
        <v>14</v>
      </c>
      <c r="E74" s="28">
        <f t="shared" si="2"/>
        <v>14924.6</v>
      </c>
      <c r="F74" s="71">
        <f>F11+F18+F32+F39+F60+F25</f>
        <v>5644.5</v>
      </c>
      <c r="G74" s="28">
        <f t="shared" ref="G74:L78" si="26">G67+G18+G32+G39+G60+G25</f>
        <v>4200</v>
      </c>
      <c r="H74" s="28">
        <f t="shared" si="26"/>
        <v>200</v>
      </c>
      <c r="I74" s="28">
        <f t="shared" si="26"/>
        <v>0</v>
      </c>
      <c r="J74" s="28">
        <f t="shared" si="26"/>
        <v>4880.1000000000004</v>
      </c>
      <c r="K74" s="28">
        <f t="shared" si="26"/>
        <v>0</v>
      </c>
      <c r="L74" s="28">
        <f t="shared" si="26"/>
        <v>0</v>
      </c>
    </row>
    <row r="75" spans="1:12" s="29" customFormat="1" x14ac:dyDescent="0.25">
      <c r="A75" s="461"/>
      <c r="B75" s="462"/>
      <c r="C75" s="463"/>
      <c r="D75" s="85" t="s">
        <v>15</v>
      </c>
      <c r="E75" s="28">
        <f t="shared" si="2"/>
        <v>836804.69710000011</v>
      </c>
      <c r="F75" s="71">
        <f>F12+F19+F33+F40+F61+F26</f>
        <v>275015.26495000004</v>
      </c>
      <c r="G75" s="28">
        <f t="shared" si="26"/>
        <v>269992.78909000003</v>
      </c>
      <c r="H75" s="28">
        <f t="shared" si="26"/>
        <v>267965.85441000003</v>
      </c>
      <c r="I75" s="28">
        <f t="shared" si="26"/>
        <v>22410.763649999997</v>
      </c>
      <c r="J75" s="28">
        <f t="shared" si="26"/>
        <v>1420.0250000000001</v>
      </c>
      <c r="K75" s="28">
        <f t="shared" si="26"/>
        <v>0</v>
      </c>
      <c r="L75" s="28">
        <f t="shared" si="26"/>
        <v>0</v>
      </c>
    </row>
    <row r="76" spans="1:12" s="29" customFormat="1" ht="30" x14ac:dyDescent="0.25">
      <c r="A76" s="461"/>
      <c r="B76" s="462"/>
      <c r="C76" s="463"/>
      <c r="D76" s="83" t="s">
        <v>91</v>
      </c>
      <c r="E76" s="28">
        <f t="shared" si="2"/>
        <v>0</v>
      </c>
      <c r="F76" s="71">
        <f>F13+F20+F34+F41+F62+F27</f>
        <v>0</v>
      </c>
      <c r="G76" s="28">
        <f t="shared" si="26"/>
        <v>0</v>
      </c>
      <c r="H76" s="28">
        <f t="shared" si="26"/>
        <v>0</v>
      </c>
      <c r="I76" s="28">
        <f t="shared" si="26"/>
        <v>0</v>
      </c>
      <c r="J76" s="28">
        <f t="shared" si="26"/>
        <v>0</v>
      </c>
      <c r="K76" s="28">
        <f t="shared" si="26"/>
        <v>0</v>
      </c>
      <c r="L76" s="28">
        <f t="shared" si="26"/>
        <v>0</v>
      </c>
    </row>
    <row r="77" spans="1:12" s="29" customFormat="1" x14ac:dyDescent="0.25">
      <c r="A77" s="461"/>
      <c r="B77" s="462"/>
      <c r="C77" s="463"/>
      <c r="D77" s="83" t="s">
        <v>90</v>
      </c>
      <c r="E77" s="28">
        <f t="shared" si="2"/>
        <v>0</v>
      </c>
      <c r="F77" s="71">
        <f>F14+F21+F35+F42+F63+F28</f>
        <v>0</v>
      </c>
      <c r="G77" s="28">
        <f t="shared" si="26"/>
        <v>0</v>
      </c>
      <c r="H77" s="28">
        <f t="shared" si="26"/>
        <v>0</v>
      </c>
      <c r="I77" s="28">
        <f t="shared" si="26"/>
        <v>0</v>
      </c>
      <c r="J77" s="28">
        <f t="shared" si="26"/>
        <v>0</v>
      </c>
      <c r="K77" s="28">
        <f t="shared" si="26"/>
        <v>0</v>
      </c>
      <c r="L77" s="28">
        <f t="shared" si="26"/>
        <v>0</v>
      </c>
    </row>
    <row r="78" spans="1:12" s="29" customFormat="1" x14ac:dyDescent="0.25">
      <c r="A78" s="464"/>
      <c r="B78" s="465"/>
      <c r="C78" s="466"/>
      <c r="D78" s="85" t="s">
        <v>18</v>
      </c>
      <c r="E78" s="28">
        <f t="shared" si="2"/>
        <v>700529.71895999997</v>
      </c>
      <c r="F78" s="71">
        <f>F15+F22+F36+F43+F64+F29</f>
        <v>0</v>
      </c>
      <c r="G78" s="28">
        <f t="shared" si="26"/>
        <v>0</v>
      </c>
      <c r="H78" s="28">
        <f t="shared" si="26"/>
        <v>0</v>
      </c>
      <c r="I78" s="28">
        <f t="shared" si="26"/>
        <v>485683.03596000001</v>
      </c>
      <c r="J78" s="28">
        <f t="shared" si="26"/>
        <v>171209.68299999999</v>
      </c>
      <c r="K78" s="28">
        <f t="shared" si="26"/>
        <v>3137</v>
      </c>
      <c r="L78" s="28">
        <f t="shared" si="26"/>
        <v>40500</v>
      </c>
    </row>
    <row r="79" spans="1:12" s="29" customFormat="1" x14ac:dyDescent="0.25">
      <c r="A79" s="441" t="s">
        <v>227</v>
      </c>
      <c r="B79" s="441"/>
      <c r="C79" s="441"/>
      <c r="D79" s="441"/>
      <c r="E79" s="441"/>
      <c r="F79" s="441"/>
      <c r="G79" s="441"/>
      <c r="H79" s="441"/>
      <c r="I79" s="441"/>
      <c r="J79" s="441"/>
      <c r="K79" s="441"/>
      <c r="L79" s="441"/>
    </row>
    <row r="80" spans="1:12" x14ac:dyDescent="0.25">
      <c r="A80" s="442"/>
      <c r="B80" s="443" t="s">
        <v>184</v>
      </c>
      <c r="C80" s="445" t="s">
        <v>175</v>
      </c>
      <c r="D80" s="85" t="s">
        <v>12</v>
      </c>
      <c r="E80" s="27">
        <f t="shared" ref="E80:E170" si="27">SUM(F80:L80)</f>
        <v>0</v>
      </c>
      <c r="F80" s="27">
        <f t="shared" ref="F80:H80" si="28">SUM(F81:F86)</f>
        <v>0</v>
      </c>
      <c r="G80" s="27">
        <f t="shared" si="28"/>
        <v>0</v>
      </c>
      <c r="H80" s="27">
        <f t="shared" si="28"/>
        <v>0</v>
      </c>
      <c r="I80" s="27">
        <f>SUM(I81:I86)</f>
        <v>0</v>
      </c>
      <c r="J80" s="27">
        <f t="shared" ref="J80:L80" si="29">SUM(J81:J86)</f>
        <v>0</v>
      </c>
      <c r="K80" s="27">
        <f t="shared" si="29"/>
        <v>0</v>
      </c>
      <c r="L80" s="27">
        <f t="shared" si="29"/>
        <v>0</v>
      </c>
    </row>
    <row r="81" spans="1:12" x14ac:dyDescent="0.25">
      <c r="A81" s="442"/>
      <c r="B81" s="443"/>
      <c r="C81" s="446"/>
      <c r="D81" s="85" t="s">
        <v>13</v>
      </c>
      <c r="E81" s="27">
        <f t="shared" si="27"/>
        <v>0</v>
      </c>
      <c r="F81" s="28">
        <v>0</v>
      </c>
      <c r="G81" s="28">
        <v>0</v>
      </c>
      <c r="H81" s="28">
        <v>0</v>
      </c>
      <c r="I81" s="28">
        <v>0</v>
      </c>
      <c r="J81" s="28">
        <v>0</v>
      </c>
      <c r="K81" s="28">
        <v>0</v>
      </c>
      <c r="L81" s="28">
        <v>0</v>
      </c>
    </row>
    <row r="82" spans="1:12" x14ac:dyDescent="0.25">
      <c r="A82" s="442"/>
      <c r="B82" s="443"/>
      <c r="C82" s="446"/>
      <c r="D82" s="85" t="s">
        <v>14</v>
      </c>
      <c r="E82" s="27">
        <f t="shared" si="27"/>
        <v>0</v>
      </c>
      <c r="F82" s="28">
        <v>0</v>
      </c>
      <c r="G82" s="28">
        <v>0</v>
      </c>
      <c r="H82" s="28">
        <v>0</v>
      </c>
      <c r="I82" s="28">
        <v>0</v>
      </c>
      <c r="J82" s="28">
        <v>0</v>
      </c>
      <c r="K82" s="28">
        <v>0</v>
      </c>
      <c r="L82" s="28">
        <v>0</v>
      </c>
    </row>
    <row r="83" spans="1:12" x14ac:dyDescent="0.25">
      <c r="A83" s="442"/>
      <c r="B83" s="443"/>
      <c r="C83" s="446"/>
      <c r="D83" s="85" t="s">
        <v>15</v>
      </c>
      <c r="E83" s="27">
        <f t="shared" si="27"/>
        <v>0</v>
      </c>
      <c r="F83" s="28">
        <v>0</v>
      </c>
      <c r="G83" s="28">
        <v>0</v>
      </c>
      <c r="H83" s="28">
        <v>0</v>
      </c>
      <c r="I83" s="28">
        <v>0</v>
      </c>
      <c r="J83" s="28">
        <v>0</v>
      </c>
      <c r="K83" s="28">
        <v>0</v>
      </c>
      <c r="L83" s="28">
        <v>0</v>
      </c>
    </row>
    <row r="84" spans="1:12" ht="30" x14ac:dyDescent="0.25">
      <c r="A84" s="442"/>
      <c r="B84" s="443"/>
      <c r="C84" s="446"/>
      <c r="D84" s="83" t="s">
        <v>89</v>
      </c>
      <c r="E84" s="27">
        <f t="shared" si="27"/>
        <v>0</v>
      </c>
      <c r="F84" s="28">
        <v>0</v>
      </c>
      <c r="G84" s="28">
        <v>0</v>
      </c>
      <c r="H84" s="28">
        <v>0</v>
      </c>
      <c r="I84" s="28">
        <v>0</v>
      </c>
      <c r="J84" s="28">
        <v>0</v>
      </c>
      <c r="K84" s="28">
        <v>0</v>
      </c>
      <c r="L84" s="28">
        <v>0</v>
      </c>
    </row>
    <row r="85" spans="1:12" x14ac:dyDescent="0.25">
      <c r="A85" s="442"/>
      <c r="B85" s="443"/>
      <c r="C85" s="446"/>
      <c r="D85" s="83" t="s">
        <v>90</v>
      </c>
      <c r="E85" s="27">
        <f t="shared" si="27"/>
        <v>0</v>
      </c>
      <c r="F85" s="28">
        <v>0</v>
      </c>
      <c r="G85" s="28">
        <v>0</v>
      </c>
      <c r="H85" s="28">
        <v>0</v>
      </c>
      <c r="I85" s="28">
        <v>0</v>
      </c>
      <c r="J85" s="28">
        <v>0</v>
      </c>
      <c r="K85" s="28">
        <v>0</v>
      </c>
      <c r="L85" s="28">
        <v>0</v>
      </c>
    </row>
    <row r="86" spans="1:12" x14ac:dyDescent="0.25">
      <c r="A86" s="442"/>
      <c r="B86" s="443"/>
      <c r="C86" s="447"/>
      <c r="D86" s="85" t="s">
        <v>18</v>
      </c>
      <c r="E86" s="27">
        <f t="shared" si="27"/>
        <v>0</v>
      </c>
      <c r="F86" s="28">
        <v>0</v>
      </c>
      <c r="G86" s="28">
        <v>0</v>
      </c>
      <c r="H86" s="28">
        <v>0</v>
      </c>
      <c r="I86" s="28">
        <v>0</v>
      </c>
      <c r="J86" s="28">
        <v>0</v>
      </c>
      <c r="K86" s="28">
        <v>0</v>
      </c>
      <c r="L86" s="28">
        <v>0</v>
      </c>
    </row>
    <row r="87" spans="1:12" x14ac:dyDescent="0.25">
      <c r="A87" s="448" t="s">
        <v>118</v>
      </c>
      <c r="B87" s="467" t="s">
        <v>185</v>
      </c>
      <c r="C87" s="445" t="s">
        <v>8</v>
      </c>
      <c r="D87" s="85" t="s">
        <v>12</v>
      </c>
      <c r="E87" s="28">
        <f t="shared" si="27"/>
        <v>826786.62828105129</v>
      </c>
      <c r="F87" s="71">
        <f t="shared" ref="F87:H87" si="30">SUM(F88:F93)</f>
        <v>56142.819049999998</v>
      </c>
      <c r="G87" s="28">
        <f t="shared" si="30"/>
        <v>62916.400629999996</v>
      </c>
      <c r="H87" s="28">
        <f t="shared" si="30"/>
        <v>65152.898359999999</v>
      </c>
      <c r="I87" s="28">
        <f>SUM(I88:I93)</f>
        <v>70935.736390000005</v>
      </c>
      <c r="J87" s="28">
        <f t="shared" ref="J87:L87" si="31">SUM(J88:J93)</f>
        <v>71104.703287000011</v>
      </c>
      <c r="K87" s="28">
        <f t="shared" si="31"/>
        <v>71316.270322880009</v>
      </c>
      <c r="L87" s="28">
        <f t="shared" si="31"/>
        <v>429217.80024117127</v>
      </c>
    </row>
    <row r="88" spans="1:12" x14ac:dyDescent="0.25">
      <c r="A88" s="449"/>
      <c r="B88" s="468"/>
      <c r="C88" s="446"/>
      <c r="D88" s="85" t="s">
        <v>13</v>
      </c>
      <c r="E88" s="28">
        <f t="shared" si="27"/>
        <v>0</v>
      </c>
      <c r="F88" s="71">
        <v>0</v>
      </c>
      <c r="G88" s="28">
        <v>0</v>
      </c>
      <c r="H88" s="28">
        <v>0</v>
      </c>
      <c r="I88" s="28">
        <v>0</v>
      </c>
      <c r="J88" s="28">
        <v>0</v>
      </c>
      <c r="K88" s="28">
        <v>0</v>
      </c>
      <c r="L88" s="28">
        <v>0</v>
      </c>
    </row>
    <row r="89" spans="1:12" x14ac:dyDescent="0.25">
      <c r="A89" s="449"/>
      <c r="B89" s="468"/>
      <c r="C89" s="446"/>
      <c r="D89" s="85" t="s">
        <v>14</v>
      </c>
      <c r="E89" s="28">
        <f t="shared" si="27"/>
        <v>0</v>
      </c>
      <c r="F89" s="71">
        <v>0</v>
      </c>
      <c r="G89" s="28">
        <v>0</v>
      </c>
      <c r="H89" s="28">
        <v>0</v>
      </c>
      <c r="I89" s="28">
        <v>0</v>
      </c>
      <c r="J89" s="28">
        <v>0</v>
      </c>
      <c r="K89" s="28">
        <v>0</v>
      </c>
      <c r="L89" s="28">
        <v>0</v>
      </c>
    </row>
    <row r="90" spans="1:12" x14ac:dyDescent="0.25">
      <c r="A90" s="449"/>
      <c r="B90" s="468"/>
      <c r="C90" s="446"/>
      <c r="D90" s="85" t="s">
        <v>15</v>
      </c>
      <c r="E90" s="28">
        <f t="shared" si="27"/>
        <v>776551.86455000006</v>
      </c>
      <c r="F90" s="71">
        <f>59077.36135-145-3150.5423+361</f>
        <v>56142.819049999998</v>
      </c>
      <c r="G90" s="28">
        <f>62317.64692+342.454+256.29971</f>
        <v>62916.400629999996</v>
      </c>
      <c r="H90" s="28">
        <f>63212.49836+1940.4</f>
        <v>65152.898359999999</v>
      </c>
      <c r="I90" s="28">
        <v>65815.527390000003</v>
      </c>
      <c r="J90" s="28">
        <v>65815.527390000003</v>
      </c>
      <c r="K90" s="28">
        <v>65815.527390000003</v>
      </c>
      <c r="L90" s="28">
        <f>K90*6</f>
        <v>394893.16434000002</v>
      </c>
    </row>
    <row r="91" spans="1:12" ht="30" x14ac:dyDescent="0.25">
      <c r="A91" s="449"/>
      <c r="B91" s="468"/>
      <c r="C91" s="446"/>
      <c r="D91" s="83" t="s">
        <v>91</v>
      </c>
      <c r="E91" s="28">
        <f t="shared" si="27"/>
        <v>0</v>
      </c>
      <c r="F91" s="71">
        <v>0</v>
      </c>
      <c r="G91" s="28">
        <v>0</v>
      </c>
      <c r="H91" s="28">
        <v>0</v>
      </c>
      <c r="I91" s="28">
        <v>0</v>
      </c>
      <c r="J91" s="28">
        <v>0</v>
      </c>
      <c r="K91" s="28">
        <v>0</v>
      </c>
      <c r="L91" s="28">
        <v>0</v>
      </c>
    </row>
    <row r="92" spans="1:12" x14ac:dyDescent="0.25">
      <c r="A92" s="449"/>
      <c r="B92" s="468"/>
      <c r="C92" s="446"/>
      <c r="D92" s="83" t="s">
        <v>90</v>
      </c>
      <c r="E92" s="28">
        <f t="shared" si="27"/>
        <v>0</v>
      </c>
      <c r="F92" s="71">
        <v>0</v>
      </c>
      <c r="G92" s="28">
        <v>0</v>
      </c>
      <c r="H92" s="28">
        <v>0</v>
      </c>
      <c r="I92" s="28">
        <v>0</v>
      </c>
      <c r="J92" s="59">
        <v>0</v>
      </c>
      <c r="K92" s="59">
        <v>0</v>
      </c>
      <c r="L92" s="59">
        <v>0</v>
      </c>
    </row>
    <row r="93" spans="1:12" x14ac:dyDescent="0.25">
      <c r="A93" s="450"/>
      <c r="B93" s="469"/>
      <c r="C93" s="447"/>
      <c r="D93" s="85" t="s">
        <v>18</v>
      </c>
      <c r="E93" s="28">
        <f t="shared" si="27"/>
        <v>50234.763731051251</v>
      </c>
      <c r="F93" s="71">
        <v>0</v>
      </c>
      <c r="G93" s="28">
        <v>0</v>
      </c>
      <c r="H93" s="28">
        <v>0</v>
      </c>
      <c r="I93" s="35">
        <v>5120.2089999999998</v>
      </c>
      <c r="J93" s="101">
        <f>(I87-J90)*103.3%</f>
        <v>5289.1758970000019</v>
      </c>
      <c r="K93" s="17">
        <f>(J87-K90)*104%</f>
        <v>5500.742932880009</v>
      </c>
      <c r="L93" s="18">
        <f>(K87*6-L90)*104%</f>
        <v>34324.635901171241</v>
      </c>
    </row>
    <row r="94" spans="1:12" s="29" customFormat="1" x14ac:dyDescent="0.25">
      <c r="A94" s="470" t="s">
        <v>119</v>
      </c>
      <c r="B94" s="473" t="s">
        <v>186</v>
      </c>
      <c r="C94" s="476" t="s">
        <v>171</v>
      </c>
      <c r="D94" s="85" t="s">
        <v>12</v>
      </c>
      <c r="E94" s="28">
        <f t="shared" si="27"/>
        <v>2937546.3930172874</v>
      </c>
      <c r="F94" s="71">
        <f t="shared" ref="F94:H94" si="32">SUM(F95:F100)</f>
        <v>204445.37432000003</v>
      </c>
      <c r="G94" s="28">
        <f t="shared" si="32"/>
        <v>218568.31765000001</v>
      </c>
      <c r="H94" s="28">
        <f t="shared" si="32"/>
        <v>200993.15647000002</v>
      </c>
      <c r="I94" s="28">
        <f>SUM(I95:I100)</f>
        <v>244404.61350000001</v>
      </c>
      <c r="J94" s="103">
        <f t="shared" ref="J94:L94" si="33">SUM(J95:J100)</f>
        <v>248995.64749524</v>
      </c>
      <c r="K94" s="103">
        <f t="shared" si="33"/>
        <v>254824.1785462496</v>
      </c>
      <c r="L94" s="60">
        <f t="shared" si="33"/>
        <v>1565315.1050357975</v>
      </c>
    </row>
    <row r="95" spans="1:12" x14ac:dyDescent="0.25">
      <c r="A95" s="471"/>
      <c r="B95" s="474"/>
      <c r="C95" s="477"/>
      <c r="D95" s="85" t="s">
        <v>13</v>
      </c>
      <c r="E95" s="28">
        <f t="shared" si="27"/>
        <v>0</v>
      </c>
      <c r="F95" s="71">
        <f>F102+F109+F116+F123</f>
        <v>0</v>
      </c>
      <c r="G95" s="28">
        <f t="shared" ref="G95:L95" si="34">G102+G109+G116+G123</f>
        <v>0</v>
      </c>
      <c r="H95" s="28">
        <f t="shared" si="34"/>
        <v>0</v>
      </c>
      <c r="I95" s="28">
        <f t="shared" si="34"/>
        <v>0</v>
      </c>
      <c r="J95" s="28">
        <f t="shared" si="34"/>
        <v>0</v>
      </c>
      <c r="K95" s="28">
        <f t="shared" si="34"/>
        <v>0</v>
      </c>
      <c r="L95" s="28">
        <f t="shared" si="34"/>
        <v>0</v>
      </c>
    </row>
    <row r="96" spans="1:12" x14ac:dyDescent="0.25">
      <c r="A96" s="471"/>
      <c r="B96" s="474"/>
      <c r="C96" s="477"/>
      <c r="D96" s="85" t="s">
        <v>14</v>
      </c>
      <c r="E96" s="28">
        <f t="shared" si="27"/>
        <v>473</v>
      </c>
      <c r="F96" s="71">
        <f t="shared" ref="F96:L100" si="35">F103+F110+F117+F124</f>
        <v>330</v>
      </c>
      <c r="G96" s="28">
        <f t="shared" si="35"/>
        <v>143</v>
      </c>
      <c r="H96" s="28">
        <f t="shared" si="35"/>
        <v>0</v>
      </c>
      <c r="I96" s="28">
        <f t="shared" si="35"/>
        <v>0</v>
      </c>
      <c r="J96" s="28">
        <f t="shared" si="35"/>
        <v>0</v>
      </c>
      <c r="K96" s="28">
        <f t="shared" si="35"/>
        <v>0</v>
      </c>
      <c r="L96" s="28">
        <f t="shared" si="35"/>
        <v>0</v>
      </c>
    </row>
    <row r="97" spans="1:12" x14ac:dyDescent="0.25">
      <c r="A97" s="471"/>
      <c r="B97" s="474"/>
      <c r="C97" s="477"/>
      <c r="D97" s="85" t="s">
        <v>15</v>
      </c>
      <c r="E97" s="28">
        <f t="shared" si="27"/>
        <v>1646641.2448700001</v>
      </c>
      <c r="F97" s="71">
        <f t="shared" si="35"/>
        <v>204115.37432000003</v>
      </c>
      <c r="G97" s="28">
        <f t="shared" si="35"/>
        <v>218425.31765000001</v>
      </c>
      <c r="H97" s="28">
        <f t="shared" si="35"/>
        <v>200993.15647000002</v>
      </c>
      <c r="I97" s="28">
        <f t="shared" si="35"/>
        <v>194848.42667000002</v>
      </c>
      <c r="J97" s="28">
        <f t="shared" si="35"/>
        <v>105282.37122</v>
      </c>
      <c r="K97" s="28">
        <f t="shared" si="35"/>
        <v>103282.37122</v>
      </c>
      <c r="L97" s="28">
        <f t="shared" si="35"/>
        <v>619694.22731999995</v>
      </c>
    </row>
    <row r="98" spans="1:12" ht="30" x14ac:dyDescent="0.25">
      <c r="A98" s="471"/>
      <c r="B98" s="474"/>
      <c r="C98" s="477"/>
      <c r="D98" s="83" t="s">
        <v>91</v>
      </c>
      <c r="E98" s="28">
        <f t="shared" si="27"/>
        <v>0</v>
      </c>
      <c r="F98" s="28">
        <f t="shared" si="35"/>
        <v>0</v>
      </c>
      <c r="G98" s="28">
        <f t="shared" si="35"/>
        <v>0</v>
      </c>
      <c r="H98" s="28">
        <f t="shared" si="35"/>
        <v>0</v>
      </c>
      <c r="I98" s="28">
        <f t="shared" si="35"/>
        <v>0</v>
      </c>
      <c r="J98" s="28">
        <f t="shared" si="35"/>
        <v>0</v>
      </c>
      <c r="K98" s="28">
        <f t="shared" si="35"/>
        <v>0</v>
      </c>
      <c r="L98" s="28">
        <f t="shared" si="35"/>
        <v>0</v>
      </c>
    </row>
    <row r="99" spans="1:12" x14ac:dyDescent="0.25">
      <c r="A99" s="471"/>
      <c r="B99" s="474"/>
      <c r="C99" s="477"/>
      <c r="D99" s="83" t="s">
        <v>90</v>
      </c>
      <c r="E99" s="28">
        <f t="shared" si="27"/>
        <v>0</v>
      </c>
      <c r="F99" s="28">
        <f t="shared" si="35"/>
        <v>0</v>
      </c>
      <c r="G99" s="28">
        <f t="shared" si="35"/>
        <v>0</v>
      </c>
      <c r="H99" s="28">
        <f t="shared" si="35"/>
        <v>0</v>
      </c>
      <c r="I99" s="28">
        <f t="shared" si="35"/>
        <v>0</v>
      </c>
      <c r="J99" s="28">
        <f t="shared" si="35"/>
        <v>0</v>
      </c>
      <c r="K99" s="28">
        <f t="shared" si="35"/>
        <v>0</v>
      </c>
      <c r="L99" s="28">
        <f t="shared" si="35"/>
        <v>0</v>
      </c>
    </row>
    <row r="100" spans="1:12" x14ac:dyDescent="0.25">
      <c r="A100" s="471"/>
      <c r="B100" s="474"/>
      <c r="C100" s="478"/>
      <c r="D100" s="85" t="s">
        <v>18</v>
      </c>
      <c r="E100" s="28">
        <f t="shared" si="27"/>
        <v>1290432.1481472871</v>
      </c>
      <c r="F100" s="28">
        <f t="shared" si="35"/>
        <v>0</v>
      </c>
      <c r="G100" s="28">
        <f t="shared" si="35"/>
        <v>0</v>
      </c>
      <c r="H100" s="28">
        <f t="shared" si="35"/>
        <v>0</v>
      </c>
      <c r="I100" s="28">
        <f t="shared" si="35"/>
        <v>49556.186829999999</v>
      </c>
      <c r="J100" s="28">
        <f t="shared" si="35"/>
        <v>143713.27627524</v>
      </c>
      <c r="K100" s="28">
        <f t="shared" si="35"/>
        <v>151541.8073262496</v>
      </c>
      <c r="L100" s="28">
        <f t="shared" si="35"/>
        <v>945620.87771579751</v>
      </c>
    </row>
    <row r="101" spans="1:12" s="29" customFormat="1" x14ac:dyDescent="0.25">
      <c r="A101" s="471"/>
      <c r="B101" s="474"/>
      <c r="C101" s="445" t="s">
        <v>196</v>
      </c>
      <c r="D101" s="85" t="s">
        <v>12</v>
      </c>
      <c r="E101" s="28">
        <f t="shared" si="27"/>
        <v>2580069.6640296369</v>
      </c>
      <c r="F101" s="71">
        <f t="shared" ref="F101:H101" si="36">SUM(F102:F107)</f>
        <v>202753.45003000004</v>
      </c>
      <c r="G101" s="28">
        <f t="shared" si="36"/>
        <v>215394.25069000002</v>
      </c>
      <c r="H101" s="28">
        <f t="shared" si="36"/>
        <v>172242.57086000001</v>
      </c>
      <c r="I101" s="28">
        <f>SUM(I102:I107)</f>
        <v>210451.40754000001</v>
      </c>
      <c r="J101" s="28">
        <f t="shared" ref="J101:L101" si="37">SUM(J102:J107)</f>
        <v>214298.63669444999</v>
      </c>
      <c r="K101" s="28">
        <f t="shared" si="37"/>
        <v>219195.83392662799</v>
      </c>
      <c r="L101" s="28">
        <f t="shared" si="37"/>
        <v>1345733.5142885586</v>
      </c>
    </row>
    <row r="102" spans="1:12" x14ac:dyDescent="0.25">
      <c r="A102" s="471"/>
      <c r="B102" s="474"/>
      <c r="C102" s="446"/>
      <c r="D102" s="85" t="s">
        <v>13</v>
      </c>
      <c r="E102" s="28">
        <f t="shared" si="27"/>
        <v>0</v>
      </c>
      <c r="F102" s="74">
        <v>0</v>
      </c>
      <c r="G102" s="33">
        <v>0</v>
      </c>
      <c r="H102" s="33">
        <v>0</v>
      </c>
      <c r="I102" s="33">
        <v>0</v>
      </c>
      <c r="J102" s="33">
        <v>0</v>
      </c>
      <c r="K102" s="33">
        <v>0</v>
      </c>
      <c r="L102" s="33">
        <v>0</v>
      </c>
    </row>
    <row r="103" spans="1:12" x14ac:dyDescent="0.25">
      <c r="A103" s="471"/>
      <c r="B103" s="474"/>
      <c r="C103" s="446"/>
      <c r="D103" s="85" t="s">
        <v>14</v>
      </c>
      <c r="E103" s="28">
        <f t="shared" si="27"/>
        <v>473</v>
      </c>
      <c r="F103" s="74">
        <v>330</v>
      </c>
      <c r="G103" s="33">
        <v>143</v>
      </c>
      <c r="H103" s="33">
        <v>0</v>
      </c>
      <c r="I103" s="33">
        <v>0</v>
      </c>
      <c r="J103" s="33">
        <v>0</v>
      </c>
      <c r="K103" s="33">
        <v>0</v>
      </c>
      <c r="L103" s="33">
        <v>0</v>
      </c>
    </row>
    <row r="104" spans="1:12" x14ac:dyDescent="0.25">
      <c r="A104" s="471"/>
      <c r="B104" s="474"/>
      <c r="C104" s="446"/>
      <c r="D104" s="85" t="s">
        <v>15</v>
      </c>
      <c r="E104" s="28">
        <f t="shared" si="27"/>
        <v>1492055.4810100002</v>
      </c>
      <c r="F104" s="74">
        <f>204952.31703-148.67617-3.8-9152.8+152.47617+183.433+5000+145+674+501.4-362-500+122.1+860</f>
        <v>202423.45003000004</v>
      </c>
      <c r="G104" s="33">
        <f>218825.83488-2000-350-2867-556.03419-636.55+2835</f>
        <v>215251.25069000002</v>
      </c>
      <c r="H104" s="17">
        <f>198548.70409-26306.13323</f>
        <v>172242.57086000001</v>
      </c>
      <c r="I104" s="17">
        <f>191943.60167+162.625-26917.66436</f>
        <v>165188.56231000001</v>
      </c>
      <c r="J104" s="64">
        <f>102540.17122-8671.46533</f>
        <v>93868.705889999997</v>
      </c>
      <c r="K104" s="33">
        <f>100540.17122-8671.46533</f>
        <v>91868.705889999997</v>
      </c>
      <c r="L104" s="33">
        <f>K104*6</f>
        <v>551212.23534000001</v>
      </c>
    </row>
    <row r="105" spans="1:12" ht="30" x14ac:dyDescent="0.25">
      <c r="A105" s="471"/>
      <c r="B105" s="474"/>
      <c r="C105" s="446"/>
      <c r="D105" s="83" t="s">
        <v>91</v>
      </c>
      <c r="E105" s="28">
        <f t="shared" si="27"/>
        <v>0</v>
      </c>
      <c r="F105" s="33">
        <v>0</v>
      </c>
      <c r="G105" s="33">
        <v>0</v>
      </c>
      <c r="H105" s="33">
        <v>0</v>
      </c>
      <c r="I105" s="63">
        <v>0</v>
      </c>
      <c r="J105" s="33">
        <v>0</v>
      </c>
      <c r="K105" s="33">
        <v>0</v>
      </c>
      <c r="L105" s="33">
        <v>0</v>
      </c>
    </row>
    <row r="106" spans="1:12" x14ac:dyDescent="0.25">
      <c r="A106" s="471"/>
      <c r="B106" s="474"/>
      <c r="C106" s="446"/>
      <c r="D106" s="83" t="s">
        <v>90</v>
      </c>
      <c r="E106" s="28">
        <f t="shared" si="27"/>
        <v>0</v>
      </c>
      <c r="F106" s="33">
        <v>0</v>
      </c>
      <c r="G106" s="33">
        <v>0</v>
      </c>
      <c r="H106" s="33">
        <v>0</v>
      </c>
      <c r="I106" s="33">
        <v>0</v>
      </c>
      <c r="J106" s="33">
        <v>0</v>
      </c>
      <c r="K106" s="33">
        <v>0</v>
      </c>
      <c r="L106" s="33">
        <v>0</v>
      </c>
    </row>
    <row r="107" spans="1:12" x14ac:dyDescent="0.25">
      <c r="A107" s="471"/>
      <c r="B107" s="474"/>
      <c r="C107" s="447"/>
      <c r="D107" s="85" t="s">
        <v>18</v>
      </c>
      <c r="E107" s="28">
        <f t="shared" si="27"/>
        <v>1087541.1830196367</v>
      </c>
      <c r="F107" s="33">
        <v>0</v>
      </c>
      <c r="G107" s="33">
        <v>0</v>
      </c>
      <c r="H107" s="33">
        <v>0</v>
      </c>
      <c r="I107" s="17">
        <f>49556.18683-4293.3416</f>
        <v>45262.845229999999</v>
      </c>
      <c r="J107" s="36">
        <f>(I101-J104)*103.3%</f>
        <v>120429.93080445001</v>
      </c>
      <c r="K107" s="17">
        <f>(J101-K104)*104%</f>
        <v>127327.128036628</v>
      </c>
      <c r="L107" s="64">
        <f>(K101*6-L104)*104%</f>
        <v>794521.27894855873</v>
      </c>
    </row>
    <row r="108" spans="1:12" x14ac:dyDescent="0.25">
      <c r="A108" s="471"/>
      <c r="B108" s="474"/>
      <c r="C108" s="479" t="s">
        <v>197</v>
      </c>
      <c r="D108" s="85" t="s">
        <v>12</v>
      </c>
      <c r="E108" s="28">
        <f t="shared" si="27"/>
        <v>325486.48535765032</v>
      </c>
      <c r="F108" s="33">
        <f t="shared" ref="F108:H108" si="38">SUM(F109:F114)</f>
        <v>0</v>
      </c>
      <c r="G108" s="33">
        <f t="shared" si="38"/>
        <v>0</v>
      </c>
      <c r="H108" s="33">
        <f t="shared" si="38"/>
        <v>26306.133229999999</v>
      </c>
      <c r="I108" s="33">
        <f>SUM(I109:I114)</f>
        <v>31211.005959999999</v>
      </c>
      <c r="J108" s="33">
        <f t="shared" ref="J108:L108" si="39">SUM(J109:J114)</f>
        <v>31954.810800789994</v>
      </c>
      <c r="K108" s="33">
        <f t="shared" si="39"/>
        <v>32886.144619621598</v>
      </c>
      <c r="L108" s="33">
        <f t="shared" si="39"/>
        <v>203128.39074723877</v>
      </c>
    </row>
    <row r="109" spans="1:12" x14ac:dyDescent="0.25">
      <c r="A109" s="471"/>
      <c r="B109" s="474"/>
      <c r="C109" s="480"/>
      <c r="D109" s="85" t="s">
        <v>13</v>
      </c>
      <c r="E109" s="28">
        <f t="shared" si="27"/>
        <v>0</v>
      </c>
      <c r="F109" s="33"/>
      <c r="G109" s="33"/>
      <c r="H109" s="33"/>
      <c r="I109" s="31"/>
      <c r="J109" s="32"/>
      <c r="K109" s="31"/>
      <c r="L109" s="64"/>
    </row>
    <row r="110" spans="1:12" x14ac:dyDescent="0.25">
      <c r="A110" s="471"/>
      <c r="B110" s="474"/>
      <c r="C110" s="480"/>
      <c r="D110" s="85" t="s">
        <v>14</v>
      </c>
      <c r="E110" s="28">
        <f t="shared" si="27"/>
        <v>0</v>
      </c>
      <c r="F110" s="33"/>
      <c r="G110" s="33"/>
      <c r="H110" s="33"/>
      <c r="I110" s="31"/>
      <c r="J110" s="32"/>
      <c r="K110" s="31"/>
      <c r="L110" s="64"/>
    </row>
    <row r="111" spans="1:12" x14ac:dyDescent="0.25">
      <c r="A111" s="471"/>
      <c r="B111" s="474"/>
      <c r="C111" s="480"/>
      <c r="D111" s="85" t="s">
        <v>15</v>
      </c>
      <c r="E111" s="28">
        <f t="shared" si="27"/>
        <v>122595.52023000001</v>
      </c>
      <c r="F111" s="33"/>
      <c r="G111" s="33"/>
      <c r="H111" s="33">
        <v>26306.133229999999</v>
      </c>
      <c r="I111" s="31">
        <v>26917.664359999999</v>
      </c>
      <c r="J111" s="32">
        <v>8671.4653300000009</v>
      </c>
      <c r="K111" s="31">
        <v>8671.4653300000009</v>
      </c>
      <c r="L111" s="64">
        <f>K111*6</f>
        <v>52028.791980000009</v>
      </c>
    </row>
    <row r="112" spans="1:12" ht="30" x14ac:dyDescent="0.25">
      <c r="A112" s="471"/>
      <c r="B112" s="474"/>
      <c r="C112" s="480"/>
      <c r="D112" s="83" t="s">
        <v>91</v>
      </c>
      <c r="E112" s="28">
        <f t="shared" si="27"/>
        <v>0</v>
      </c>
      <c r="F112" s="33"/>
      <c r="G112" s="33"/>
      <c r="H112" s="33"/>
      <c r="I112" s="31"/>
      <c r="J112" s="32"/>
      <c r="K112" s="31"/>
      <c r="L112" s="64"/>
    </row>
    <row r="113" spans="1:12" x14ac:dyDescent="0.25">
      <c r="A113" s="471"/>
      <c r="B113" s="474"/>
      <c r="C113" s="480"/>
      <c r="D113" s="83" t="s">
        <v>90</v>
      </c>
      <c r="E113" s="28">
        <f t="shared" si="27"/>
        <v>0</v>
      </c>
      <c r="F113" s="33"/>
      <c r="G113" s="33"/>
      <c r="H113" s="33"/>
      <c r="I113" s="31"/>
      <c r="J113" s="32"/>
      <c r="K113" s="31"/>
      <c r="L113" s="64"/>
    </row>
    <row r="114" spans="1:12" x14ac:dyDescent="0.25">
      <c r="A114" s="471"/>
      <c r="B114" s="474"/>
      <c r="C114" s="481"/>
      <c r="D114" s="85" t="s">
        <v>18</v>
      </c>
      <c r="E114" s="28">
        <f t="shared" si="27"/>
        <v>202890.96512765036</v>
      </c>
      <c r="F114" s="33"/>
      <c r="G114" s="33"/>
      <c r="H114" s="33"/>
      <c r="I114" s="31">
        <v>4293.3415999999997</v>
      </c>
      <c r="J114" s="32">
        <f>(I108-J111)*103.3%</f>
        <v>23283.345470789995</v>
      </c>
      <c r="K114" s="32">
        <f>(J108-K111)*104%</f>
        <v>24214.679289621596</v>
      </c>
      <c r="L114" s="64">
        <f>(K108*6-L111)*104%</f>
        <v>151099.59876723876</v>
      </c>
    </row>
    <row r="115" spans="1:12" s="29" customFormat="1" x14ac:dyDescent="0.25">
      <c r="A115" s="471"/>
      <c r="B115" s="474"/>
      <c r="C115" s="445" t="s">
        <v>142</v>
      </c>
      <c r="D115" s="85" t="s">
        <v>12</v>
      </c>
      <c r="E115" s="28">
        <f t="shared" si="27"/>
        <v>29238.943629999998</v>
      </c>
      <c r="F115" s="71">
        <f t="shared" ref="F115:H115" si="40">SUM(F116:F121)</f>
        <v>1691.9242900000002</v>
      </c>
      <c r="G115" s="28">
        <f t="shared" si="40"/>
        <v>1872.46696</v>
      </c>
      <c r="H115" s="28">
        <f t="shared" si="40"/>
        <v>994.7523799999999</v>
      </c>
      <c r="I115" s="34">
        <f>SUM(I116:I121)</f>
        <v>2742.2</v>
      </c>
      <c r="J115" s="34">
        <f t="shared" ref="J115:L115" si="41">SUM(J116:J121)</f>
        <v>2742.2</v>
      </c>
      <c r="K115" s="34">
        <f t="shared" si="41"/>
        <v>2742.2</v>
      </c>
      <c r="L115" s="28">
        <f t="shared" si="41"/>
        <v>16453.199999999997</v>
      </c>
    </row>
    <row r="116" spans="1:12" x14ac:dyDescent="0.25">
      <c r="A116" s="471"/>
      <c r="B116" s="474"/>
      <c r="C116" s="446"/>
      <c r="D116" s="85" t="s">
        <v>13</v>
      </c>
      <c r="E116" s="28">
        <f t="shared" si="27"/>
        <v>0</v>
      </c>
      <c r="F116" s="71">
        <v>0</v>
      </c>
      <c r="G116" s="28">
        <v>0</v>
      </c>
      <c r="H116" s="28">
        <v>0</v>
      </c>
      <c r="I116" s="28">
        <v>0</v>
      </c>
      <c r="J116" s="28">
        <v>0</v>
      </c>
      <c r="K116" s="28">
        <v>0</v>
      </c>
      <c r="L116" s="28">
        <v>0</v>
      </c>
    </row>
    <row r="117" spans="1:12" x14ac:dyDescent="0.25">
      <c r="A117" s="471"/>
      <c r="B117" s="474"/>
      <c r="C117" s="446"/>
      <c r="D117" s="85" t="s">
        <v>14</v>
      </c>
      <c r="E117" s="28">
        <f t="shared" si="27"/>
        <v>0</v>
      </c>
      <c r="F117" s="71">
        <v>0</v>
      </c>
      <c r="G117" s="28">
        <v>0</v>
      </c>
      <c r="H117" s="28">
        <v>0</v>
      </c>
      <c r="I117" s="28">
        <v>0</v>
      </c>
      <c r="J117" s="28">
        <v>0</v>
      </c>
      <c r="K117" s="28">
        <v>0</v>
      </c>
      <c r="L117" s="28">
        <v>0</v>
      </c>
    </row>
    <row r="118" spans="1:12" x14ac:dyDescent="0.25">
      <c r="A118" s="471"/>
      <c r="B118" s="474"/>
      <c r="C118" s="446"/>
      <c r="D118" s="85" t="s">
        <v>15</v>
      </c>
      <c r="E118" s="28">
        <f t="shared" si="27"/>
        <v>29238.943629999998</v>
      </c>
      <c r="F118" s="71">
        <f>1864.65-172.72571</f>
        <v>1691.9242900000002</v>
      </c>
      <c r="G118" s="28">
        <f>2128.76667-256.29971</f>
        <v>1872.46696</v>
      </c>
      <c r="H118" s="28">
        <f>1025.87106-31.11868</f>
        <v>994.7523799999999</v>
      </c>
      <c r="I118" s="28">
        <v>2742.2</v>
      </c>
      <c r="J118" s="28">
        <v>2742.2</v>
      </c>
      <c r="K118" s="28">
        <v>2742.2</v>
      </c>
      <c r="L118" s="28">
        <f>K118*6</f>
        <v>16453.199999999997</v>
      </c>
    </row>
    <row r="119" spans="1:12" ht="30" x14ac:dyDescent="0.25">
      <c r="A119" s="471"/>
      <c r="B119" s="474"/>
      <c r="C119" s="446"/>
      <c r="D119" s="83" t="s">
        <v>91</v>
      </c>
      <c r="E119" s="28">
        <f t="shared" si="27"/>
        <v>0</v>
      </c>
      <c r="F119" s="28">
        <v>0</v>
      </c>
      <c r="G119" s="28">
        <v>0</v>
      </c>
      <c r="H119" s="28">
        <v>0</v>
      </c>
      <c r="I119" s="28">
        <v>0</v>
      </c>
      <c r="J119" s="28">
        <v>0</v>
      </c>
      <c r="K119" s="28">
        <v>0</v>
      </c>
      <c r="L119" s="28">
        <v>0</v>
      </c>
    </row>
    <row r="120" spans="1:12" x14ac:dyDescent="0.25">
      <c r="A120" s="471"/>
      <c r="B120" s="474"/>
      <c r="C120" s="446"/>
      <c r="D120" s="83" t="s">
        <v>90</v>
      </c>
      <c r="E120" s="28">
        <f t="shared" si="27"/>
        <v>0</v>
      </c>
      <c r="F120" s="28">
        <v>0</v>
      </c>
      <c r="G120" s="28">
        <v>0</v>
      </c>
      <c r="H120" s="28">
        <v>0</v>
      </c>
      <c r="I120" s="28">
        <v>0</v>
      </c>
      <c r="J120" s="28">
        <v>0</v>
      </c>
      <c r="K120" s="28">
        <v>0</v>
      </c>
      <c r="L120" s="28">
        <v>0</v>
      </c>
    </row>
    <row r="121" spans="1:12" x14ac:dyDescent="0.25">
      <c r="A121" s="471"/>
      <c r="B121" s="474"/>
      <c r="C121" s="447"/>
      <c r="D121" s="85" t="s">
        <v>18</v>
      </c>
      <c r="E121" s="28">
        <f t="shared" si="27"/>
        <v>0</v>
      </c>
      <c r="F121" s="28">
        <v>0</v>
      </c>
      <c r="G121" s="28">
        <v>0</v>
      </c>
      <c r="H121" s="28">
        <v>0</v>
      </c>
      <c r="I121" s="28">
        <v>0</v>
      </c>
      <c r="J121" s="28">
        <v>0</v>
      </c>
      <c r="K121" s="28">
        <v>0</v>
      </c>
      <c r="L121" s="28">
        <v>0</v>
      </c>
    </row>
    <row r="122" spans="1:12" s="29" customFormat="1" x14ac:dyDescent="0.25">
      <c r="A122" s="471"/>
      <c r="B122" s="474"/>
      <c r="C122" s="457" t="s">
        <v>143</v>
      </c>
      <c r="D122" s="85" t="s">
        <v>12</v>
      </c>
      <c r="E122" s="28">
        <f t="shared" ref="E122:E128" si="42">SUM(F122:L122)</f>
        <v>2751.3</v>
      </c>
      <c r="F122" s="28">
        <f t="shared" ref="F122:H122" si="43">SUM(F123:F128)</f>
        <v>0</v>
      </c>
      <c r="G122" s="28">
        <f t="shared" si="43"/>
        <v>1301.5999999999999</v>
      </c>
      <c r="H122" s="28">
        <f t="shared" si="43"/>
        <v>1449.7</v>
      </c>
      <c r="I122" s="28">
        <f>SUM(I123:I128)</f>
        <v>0</v>
      </c>
      <c r="J122" s="28">
        <f t="shared" ref="J122:L122" si="44">SUM(J123:J128)</f>
        <v>0</v>
      </c>
      <c r="K122" s="28">
        <f t="shared" si="44"/>
        <v>0</v>
      </c>
      <c r="L122" s="28">
        <f t="shared" si="44"/>
        <v>0</v>
      </c>
    </row>
    <row r="123" spans="1:12" x14ac:dyDescent="0.25">
      <c r="A123" s="471"/>
      <c r="B123" s="474"/>
      <c r="C123" s="457"/>
      <c r="D123" s="85" t="s">
        <v>13</v>
      </c>
      <c r="E123" s="28">
        <f t="shared" si="42"/>
        <v>0</v>
      </c>
      <c r="F123" s="28">
        <v>0</v>
      </c>
      <c r="G123" s="28">
        <v>0</v>
      </c>
      <c r="H123" s="28">
        <v>0</v>
      </c>
      <c r="I123" s="28">
        <v>0</v>
      </c>
      <c r="J123" s="28">
        <v>0</v>
      </c>
      <c r="K123" s="28">
        <v>0</v>
      </c>
      <c r="L123" s="28">
        <v>0</v>
      </c>
    </row>
    <row r="124" spans="1:12" x14ac:dyDescent="0.25">
      <c r="A124" s="471"/>
      <c r="B124" s="474"/>
      <c r="C124" s="457"/>
      <c r="D124" s="85" t="s">
        <v>14</v>
      </c>
      <c r="E124" s="28">
        <f t="shared" si="42"/>
        <v>0</v>
      </c>
      <c r="F124" s="28">
        <v>0</v>
      </c>
      <c r="G124" s="28">
        <v>0</v>
      </c>
      <c r="H124" s="28">
        <v>0</v>
      </c>
      <c r="I124" s="27">
        <v>0</v>
      </c>
      <c r="J124" s="27">
        <v>0</v>
      </c>
      <c r="K124" s="27">
        <v>0</v>
      </c>
      <c r="L124" s="27">
        <v>0</v>
      </c>
    </row>
    <row r="125" spans="1:12" x14ac:dyDescent="0.25">
      <c r="A125" s="471"/>
      <c r="B125" s="474"/>
      <c r="C125" s="457"/>
      <c r="D125" s="85" t="s">
        <v>15</v>
      </c>
      <c r="E125" s="28">
        <f t="shared" si="42"/>
        <v>2751.3</v>
      </c>
      <c r="F125" s="28">
        <v>0</v>
      </c>
      <c r="G125" s="28">
        <v>1301.5999999999999</v>
      </c>
      <c r="H125" s="28">
        <v>1449.7</v>
      </c>
      <c r="I125" s="28"/>
      <c r="J125" s="28"/>
      <c r="K125" s="28"/>
      <c r="L125" s="27">
        <v>0</v>
      </c>
    </row>
    <row r="126" spans="1:12" ht="30" x14ac:dyDescent="0.25">
      <c r="A126" s="471"/>
      <c r="B126" s="474"/>
      <c r="C126" s="457"/>
      <c r="D126" s="83" t="s">
        <v>91</v>
      </c>
      <c r="E126" s="28">
        <f t="shared" si="42"/>
        <v>0</v>
      </c>
      <c r="F126" s="28">
        <v>0</v>
      </c>
      <c r="G126" s="28">
        <v>0</v>
      </c>
      <c r="H126" s="28">
        <v>0</v>
      </c>
      <c r="I126" s="27">
        <v>0</v>
      </c>
      <c r="J126" s="27">
        <v>0</v>
      </c>
      <c r="K126" s="27">
        <v>0</v>
      </c>
      <c r="L126" s="27">
        <v>0</v>
      </c>
    </row>
    <row r="127" spans="1:12" x14ac:dyDescent="0.25">
      <c r="A127" s="471"/>
      <c r="B127" s="474"/>
      <c r="C127" s="457"/>
      <c r="D127" s="83" t="s">
        <v>90</v>
      </c>
      <c r="E127" s="28">
        <f t="shared" si="42"/>
        <v>0</v>
      </c>
      <c r="F127" s="28">
        <v>0</v>
      </c>
      <c r="G127" s="28">
        <v>0</v>
      </c>
      <c r="H127" s="28">
        <v>0</v>
      </c>
      <c r="I127" s="27">
        <v>0</v>
      </c>
      <c r="J127" s="27">
        <v>0</v>
      </c>
      <c r="K127" s="27">
        <v>0</v>
      </c>
      <c r="L127" s="27">
        <v>0</v>
      </c>
    </row>
    <row r="128" spans="1:12" x14ac:dyDescent="0.25">
      <c r="A128" s="472"/>
      <c r="B128" s="475"/>
      <c r="C128" s="457"/>
      <c r="D128" s="85" t="s">
        <v>18</v>
      </c>
      <c r="E128" s="28">
        <f t="shared" si="42"/>
        <v>0</v>
      </c>
      <c r="F128" s="28">
        <v>0</v>
      </c>
      <c r="G128" s="28">
        <v>0</v>
      </c>
      <c r="H128" s="28">
        <v>0</v>
      </c>
      <c r="I128" s="27">
        <v>0</v>
      </c>
      <c r="J128" s="27">
        <v>0</v>
      </c>
      <c r="K128" s="27">
        <v>0</v>
      </c>
      <c r="L128" s="27">
        <v>0</v>
      </c>
    </row>
    <row r="129" spans="1:12" x14ac:dyDescent="0.25">
      <c r="A129" s="448" t="s">
        <v>121</v>
      </c>
      <c r="B129" s="482" t="s">
        <v>161</v>
      </c>
      <c r="C129" s="457" t="s">
        <v>8</v>
      </c>
      <c r="D129" s="85" t="s">
        <v>12</v>
      </c>
      <c r="E129" s="28">
        <f t="shared" si="27"/>
        <v>31318.620798399999</v>
      </c>
      <c r="F129" s="71">
        <f t="shared" ref="F129:H129" si="45">SUM(F130:F135)</f>
        <v>1170</v>
      </c>
      <c r="G129" s="28">
        <f t="shared" si="45"/>
        <v>1840</v>
      </c>
      <c r="H129" s="28">
        <f t="shared" si="45"/>
        <v>1837</v>
      </c>
      <c r="I129" s="28">
        <f>SUM(I130:I135)</f>
        <v>2850</v>
      </c>
      <c r="J129" s="28">
        <f t="shared" ref="J129:L129" si="46">SUM(J130:J135)</f>
        <v>2883.4290000000001</v>
      </c>
      <c r="K129" s="28">
        <f t="shared" si="46"/>
        <v>2925.2861599999997</v>
      </c>
      <c r="L129" s="28">
        <f t="shared" si="46"/>
        <v>17812.9056384</v>
      </c>
    </row>
    <row r="130" spans="1:12" x14ac:dyDescent="0.25">
      <c r="A130" s="449"/>
      <c r="B130" s="483"/>
      <c r="C130" s="457"/>
      <c r="D130" s="85" t="s">
        <v>13</v>
      </c>
      <c r="E130" s="28">
        <f t="shared" si="27"/>
        <v>0</v>
      </c>
      <c r="F130" s="71">
        <v>0</v>
      </c>
      <c r="G130" s="28">
        <v>0</v>
      </c>
      <c r="H130" s="28">
        <v>0</v>
      </c>
      <c r="I130" s="28">
        <v>0</v>
      </c>
      <c r="J130" s="28">
        <v>0</v>
      </c>
      <c r="K130" s="28">
        <v>0</v>
      </c>
      <c r="L130" s="28">
        <v>0</v>
      </c>
    </row>
    <row r="131" spans="1:12" x14ac:dyDescent="0.25">
      <c r="A131" s="449"/>
      <c r="B131" s="483"/>
      <c r="C131" s="457"/>
      <c r="D131" s="85" t="s">
        <v>14</v>
      </c>
      <c r="E131" s="28">
        <f t="shared" si="27"/>
        <v>0</v>
      </c>
      <c r="F131" s="71">
        <v>0</v>
      </c>
      <c r="G131" s="28">
        <v>0</v>
      </c>
      <c r="H131" s="28">
        <v>0</v>
      </c>
      <c r="I131" s="28">
        <v>0</v>
      </c>
      <c r="J131" s="28">
        <v>0</v>
      </c>
      <c r="K131" s="28">
        <v>0</v>
      </c>
      <c r="L131" s="28">
        <v>0</v>
      </c>
    </row>
    <row r="132" spans="1:12" x14ac:dyDescent="0.25">
      <c r="A132" s="449"/>
      <c r="B132" s="483"/>
      <c r="C132" s="457"/>
      <c r="D132" s="85" t="s">
        <v>15</v>
      </c>
      <c r="E132" s="28">
        <f t="shared" si="27"/>
        <v>21380</v>
      </c>
      <c r="F132" s="71">
        <v>1170</v>
      </c>
      <c r="G132" s="28">
        <v>1840</v>
      </c>
      <c r="H132" s="28">
        <v>1837</v>
      </c>
      <c r="I132" s="28">
        <v>1837</v>
      </c>
      <c r="J132" s="28">
        <v>1837</v>
      </c>
      <c r="K132" s="28">
        <v>1837</v>
      </c>
      <c r="L132" s="28">
        <f>K132*6</f>
        <v>11022</v>
      </c>
    </row>
    <row r="133" spans="1:12" ht="30" x14ac:dyDescent="0.25">
      <c r="A133" s="449"/>
      <c r="B133" s="483"/>
      <c r="C133" s="457"/>
      <c r="D133" s="83" t="s">
        <v>91</v>
      </c>
      <c r="E133" s="28">
        <f t="shared" si="27"/>
        <v>0</v>
      </c>
      <c r="F133" s="28">
        <v>0</v>
      </c>
      <c r="G133" s="28">
        <v>0</v>
      </c>
      <c r="H133" s="28">
        <v>0</v>
      </c>
      <c r="I133" s="28">
        <v>0</v>
      </c>
      <c r="J133" s="28">
        <v>0</v>
      </c>
      <c r="K133" s="28">
        <v>0</v>
      </c>
      <c r="L133" s="28">
        <v>0</v>
      </c>
    </row>
    <row r="134" spans="1:12" x14ac:dyDescent="0.25">
      <c r="A134" s="449"/>
      <c r="B134" s="483"/>
      <c r="C134" s="457"/>
      <c r="D134" s="83" t="s">
        <v>90</v>
      </c>
      <c r="E134" s="28">
        <f t="shared" si="27"/>
        <v>0</v>
      </c>
      <c r="F134" s="28">
        <v>0</v>
      </c>
      <c r="G134" s="28">
        <v>0</v>
      </c>
      <c r="H134" s="28">
        <v>0</v>
      </c>
      <c r="I134" s="28">
        <v>0</v>
      </c>
      <c r="J134" s="28">
        <v>0</v>
      </c>
      <c r="K134" s="28">
        <v>0</v>
      </c>
      <c r="L134" s="28">
        <v>0</v>
      </c>
    </row>
    <row r="135" spans="1:12" x14ac:dyDescent="0.25">
      <c r="A135" s="450"/>
      <c r="B135" s="484"/>
      <c r="C135" s="457"/>
      <c r="D135" s="85" t="s">
        <v>18</v>
      </c>
      <c r="E135" s="28">
        <f t="shared" si="27"/>
        <v>9938.6207983999975</v>
      </c>
      <c r="F135" s="28">
        <v>0</v>
      </c>
      <c r="G135" s="28">
        <v>0</v>
      </c>
      <c r="H135" s="28">
        <v>0</v>
      </c>
      <c r="I135" s="28">
        <v>1013</v>
      </c>
      <c r="J135" s="28">
        <v>1046.4289999999999</v>
      </c>
      <c r="K135" s="28">
        <v>1088.2861599999999</v>
      </c>
      <c r="L135" s="18">
        <f>(K129*6-L132)*104%</f>
        <v>6790.9056383999978</v>
      </c>
    </row>
    <row r="136" spans="1:12" x14ac:dyDescent="0.25">
      <c r="A136" s="448" t="s">
        <v>122</v>
      </c>
      <c r="B136" s="473" t="s">
        <v>187</v>
      </c>
      <c r="C136" s="445" t="s">
        <v>153</v>
      </c>
      <c r="D136" s="85" t="s">
        <v>12</v>
      </c>
      <c r="E136" s="28">
        <f t="shared" si="27"/>
        <v>624160.21950288711</v>
      </c>
      <c r="F136" s="71">
        <f t="shared" ref="F136:H136" si="47">SUM(F137:F142)</f>
        <v>42352.774519999999</v>
      </c>
      <c r="G136" s="28">
        <f t="shared" si="47"/>
        <v>47203.258170000001</v>
      </c>
      <c r="H136" s="28">
        <f t="shared" si="47"/>
        <v>45668.996569999996</v>
      </c>
      <c r="I136" s="28">
        <f>SUM(I137:I142)</f>
        <v>50524.884659999996</v>
      </c>
      <c r="J136" s="28">
        <f t="shared" ref="J136:L136" si="48">SUM(J137:J142)</f>
        <v>51767.683029500004</v>
      </c>
      <c r="K136" s="28">
        <f t="shared" si="48"/>
        <v>54266.296424280001</v>
      </c>
      <c r="L136" s="28">
        <f t="shared" si="48"/>
        <v>332376.32612910715</v>
      </c>
    </row>
    <row r="137" spans="1:12" s="52" customFormat="1" x14ac:dyDescent="0.25">
      <c r="A137" s="449"/>
      <c r="B137" s="474"/>
      <c r="C137" s="446"/>
      <c r="D137" s="51" t="s">
        <v>13</v>
      </c>
      <c r="E137" s="33">
        <f t="shared" si="27"/>
        <v>312.29999999999995</v>
      </c>
      <c r="F137" s="74">
        <f>F144+F151</f>
        <v>13.6</v>
      </c>
      <c r="G137" s="33">
        <f t="shared" ref="G137:L137" si="49">G144+G151</f>
        <v>0</v>
      </c>
      <c r="H137" s="33">
        <f t="shared" si="49"/>
        <v>50.9</v>
      </c>
      <c r="I137" s="33">
        <f t="shared" si="49"/>
        <v>82.6</v>
      </c>
      <c r="J137" s="33">
        <f t="shared" si="49"/>
        <v>82.6</v>
      </c>
      <c r="K137" s="33">
        <f t="shared" si="49"/>
        <v>82.6</v>
      </c>
      <c r="L137" s="33">
        <f t="shared" si="49"/>
        <v>0</v>
      </c>
    </row>
    <row r="138" spans="1:12" s="52" customFormat="1" x14ac:dyDescent="0.25">
      <c r="A138" s="449"/>
      <c r="B138" s="474"/>
      <c r="C138" s="446"/>
      <c r="D138" s="51" t="s">
        <v>14</v>
      </c>
      <c r="E138" s="33">
        <f t="shared" si="27"/>
        <v>4750.2445600000001</v>
      </c>
      <c r="F138" s="74">
        <f t="shared" ref="F138:L142" si="50">F145+F152</f>
        <v>584.27727000000004</v>
      </c>
      <c r="G138" s="33">
        <f t="shared" si="50"/>
        <v>548.5</v>
      </c>
      <c r="H138" s="33">
        <f t="shared" si="50"/>
        <v>672.66728999999998</v>
      </c>
      <c r="I138" s="33">
        <f t="shared" si="50"/>
        <v>903.59999999999991</v>
      </c>
      <c r="J138" s="33">
        <f t="shared" si="50"/>
        <v>655</v>
      </c>
      <c r="K138" s="33">
        <f t="shared" si="50"/>
        <v>1386.2</v>
      </c>
      <c r="L138" s="33">
        <f t="shared" si="50"/>
        <v>0</v>
      </c>
    </row>
    <row r="139" spans="1:12" x14ac:dyDescent="0.25">
      <c r="A139" s="449"/>
      <c r="B139" s="474"/>
      <c r="C139" s="446"/>
      <c r="D139" s="85" t="s">
        <v>15</v>
      </c>
      <c r="E139" s="28">
        <f t="shared" si="27"/>
        <v>396215.30914999999</v>
      </c>
      <c r="F139" s="74">
        <f t="shared" si="50"/>
        <v>41754.897250000002</v>
      </c>
      <c r="G139" s="33">
        <f t="shared" si="50"/>
        <v>46654.758170000001</v>
      </c>
      <c r="H139" s="33">
        <f t="shared" si="50"/>
        <v>44945.429279999997</v>
      </c>
      <c r="I139" s="33">
        <f t="shared" si="50"/>
        <v>45487.944170000002</v>
      </c>
      <c r="J139" s="33">
        <f t="shared" si="50"/>
        <v>35215.843159999997</v>
      </c>
      <c r="K139" s="33">
        <f t="shared" si="50"/>
        <v>26022.348160000001</v>
      </c>
      <c r="L139" s="33">
        <f t="shared" si="50"/>
        <v>156134.08896000002</v>
      </c>
    </row>
    <row r="140" spans="1:12" ht="30" x14ac:dyDescent="0.25">
      <c r="A140" s="449"/>
      <c r="B140" s="474"/>
      <c r="C140" s="446"/>
      <c r="D140" s="83" t="s">
        <v>91</v>
      </c>
      <c r="E140" s="28">
        <f t="shared" si="27"/>
        <v>0</v>
      </c>
      <c r="F140" s="74">
        <f t="shared" si="50"/>
        <v>0</v>
      </c>
      <c r="G140" s="33">
        <f t="shared" si="50"/>
        <v>0</v>
      </c>
      <c r="H140" s="33">
        <f t="shared" si="50"/>
        <v>0</v>
      </c>
      <c r="I140" s="33">
        <f t="shared" si="50"/>
        <v>0</v>
      </c>
      <c r="J140" s="33">
        <f t="shared" si="50"/>
        <v>0</v>
      </c>
      <c r="K140" s="33">
        <f t="shared" si="50"/>
        <v>0</v>
      </c>
      <c r="L140" s="33">
        <f t="shared" si="50"/>
        <v>0</v>
      </c>
    </row>
    <row r="141" spans="1:12" x14ac:dyDescent="0.25">
      <c r="A141" s="449"/>
      <c r="B141" s="474"/>
      <c r="C141" s="446"/>
      <c r="D141" s="83" t="s">
        <v>90</v>
      </c>
      <c r="E141" s="28">
        <f t="shared" si="27"/>
        <v>0</v>
      </c>
      <c r="F141" s="74">
        <f t="shared" si="50"/>
        <v>0</v>
      </c>
      <c r="G141" s="33">
        <f t="shared" si="50"/>
        <v>0</v>
      </c>
      <c r="H141" s="33">
        <f t="shared" si="50"/>
        <v>0</v>
      </c>
      <c r="I141" s="33">
        <f t="shared" si="50"/>
        <v>0</v>
      </c>
      <c r="J141" s="33">
        <f t="shared" si="50"/>
        <v>0</v>
      </c>
      <c r="K141" s="33">
        <f t="shared" si="50"/>
        <v>0</v>
      </c>
      <c r="L141" s="33">
        <f t="shared" si="50"/>
        <v>0</v>
      </c>
    </row>
    <row r="142" spans="1:12" x14ac:dyDescent="0.25">
      <c r="A142" s="449"/>
      <c r="B142" s="474"/>
      <c r="C142" s="447"/>
      <c r="D142" s="85" t="s">
        <v>18</v>
      </c>
      <c r="E142" s="28">
        <f t="shared" si="27"/>
        <v>222882.36579288714</v>
      </c>
      <c r="F142" s="74">
        <f t="shared" si="50"/>
        <v>0</v>
      </c>
      <c r="G142" s="33">
        <f t="shared" si="50"/>
        <v>0</v>
      </c>
      <c r="H142" s="33">
        <f t="shared" si="50"/>
        <v>0</v>
      </c>
      <c r="I142" s="33">
        <f t="shared" si="50"/>
        <v>4050.7404900000001</v>
      </c>
      <c r="J142" s="33">
        <f t="shared" si="50"/>
        <v>15814.239869500008</v>
      </c>
      <c r="K142" s="33">
        <f t="shared" si="50"/>
        <v>26775.14826428</v>
      </c>
      <c r="L142" s="33">
        <f t="shared" si="50"/>
        <v>176242.23716910713</v>
      </c>
    </row>
    <row r="143" spans="1:12" x14ac:dyDescent="0.25">
      <c r="A143" s="449"/>
      <c r="B143" s="474"/>
      <c r="C143" s="479" t="s">
        <v>8</v>
      </c>
      <c r="D143" s="85" t="s">
        <v>12</v>
      </c>
      <c r="E143" s="28">
        <f t="shared" si="27"/>
        <v>594393.09699401155</v>
      </c>
      <c r="F143" s="71">
        <f t="shared" ref="F143:H143" si="51">SUM(F144:F149)</f>
        <v>42352.774519999999</v>
      </c>
      <c r="G143" s="28">
        <f t="shared" si="51"/>
        <v>47203.258170000001</v>
      </c>
      <c r="H143" s="28">
        <f t="shared" si="51"/>
        <v>42682.766949999997</v>
      </c>
      <c r="I143" s="28">
        <f>SUM(I144:I149)</f>
        <v>47711.000140000004</v>
      </c>
      <c r="J143" s="28">
        <f t="shared" ref="J143:L143" si="52">SUM(J144:J149)</f>
        <v>48935.64567546</v>
      </c>
      <c r="K143" s="28">
        <f t="shared" si="52"/>
        <v>51335.262881678398</v>
      </c>
      <c r="L143" s="28">
        <f t="shared" si="52"/>
        <v>314172.38865687314</v>
      </c>
    </row>
    <row r="144" spans="1:12" x14ac:dyDescent="0.25">
      <c r="A144" s="449"/>
      <c r="B144" s="474"/>
      <c r="C144" s="480"/>
      <c r="D144" s="51" t="s">
        <v>13</v>
      </c>
      <c r="E144" s="28">
        <f t="shared" si="27"/>
        <v>312.29999999999995</v>
      </c>
      <c r="F144" s="74">
        <f>13.6</f>
        <v>13.6</v>
      </c>
      <c r="G144" s="33">
        <v>0</v>
      </c>
      <c r="H144" s="33">
        <v>50.9</v>
      </c>
      <c r="I144" s="33">
        <v>82.6</v>
      </c>
      <c r="J144" s="33">
        <v>82.6</v>
      </c>
      <c r="K144" s="33">
        <v>82.6</v>
      </c>
      <c r="L144" s="33">
        <v>0</v>
      </c>
    </row>
    <row r="145" spans="1:12" x14ac:dyDescent="0.25">
      <c r="A145" s="449"/>
      <c r="B145" s="474"/>
      <c r="C145" s="480"/>
      <c r="D145" s="51" t="s">
        <v>14</v>
      </c>
      <c r="E145" s="28">
        <f t="shared" si="27"/>
        <v>4750.2445600000001</v>
      </c>
      <c r="F145" s="74">
        <f>584.27727</f>
        <v>584.27727000000004</v>
      </c>
      <c r="G145" s="33">
        <v>548.5</v>
      </c>
      <c r="H145" s="33">
        <f>553.9+118.7+0.06729</f>
        <v>672.66728999999998</v>
      </c>
      <c r="I145" s="33">
        <f>802.8+100.8</f>
        <v>903.59999999999991</v>
      </c>
      <c r="J145" s="33">
        <f>554.2+100.8</f>
        <v>655</v>
      </c>
      <c r="K145" s="33">
        <f>1285.4+100.8</f>
        <v>1386.2</v>
      </c>
      <c r="L145" s="33">
        <v>0</v>
      </c>
    </row>
    <row r="146" spans="1:12" x14ac:dyDescent="0.25">
      <c r="A146" s="449"/>
      <c r="B146" s="474"/>
      <c r="C146" s="480"/>
      <c r="D146" s="85" t="s">
        <v>15</v>
      </c>
      <c r="E146" s="28">
        <f t="shared" si="27"/>
        <v>385901.76789000002</v>
      </c>
      <c r="F146" s="74">
        <f>41126.98824+362+10.90901+210+45</f>
        <v>41754.897250000002</v>
      </c>
      <c r="G146" s="33">
        <f>46781.68526-126.92709</f>
        <v>46654.758170000001</v>
      </c>
      <c r="H146" s="33">
        <f>44945.42928-2986.22962</f>
        <v>41959.199659999998</v>
      </c>
      <c r="I146" s="33">
        <f>45487.94417-2563.58452</f>
        <v>42924.359650000006</v>
      </c>
      <c r="J146" s="33">
        <f>35215.84316-2263.79864</f>
        <v>32952.044519999996</v>
      </c>
      <c r="K146" s="33">
        <f>26022.34816-357.13264</f>
        <v>25665.215520000002</v>
      </c>
      <c r="L146" s="33">
        <f>K146*6</f>
        <v>153991.29312000002</v>
      </c>
    </row>
    <row r="147" spans="1:12" ht="30" x14ac:dyDescent="0.25">
      <c r="A147" s="449"/>
      <c r="B147" s="474"/>
      <c r="C147" s="480"/>
      <c r="D147" s="83" t="s">
        <v>91</v>
      </c>
      <c r="E147" s="28">
        <f t="shared" si="27"/>
        <v>0</v>
      </c>
      <c r="F147" s="33">
        <v>0</v>
      </c>
      <c r="G147" s="33">
        <v>0</v>
      </c>
      <c r="H147" s="33">
        <v>0</v>
      </c>
      <c r="I147" s="33">
        <v>0</v>
      </c>
      <c r="J147" s="33">
        <v>0</v>
      </c>
      <c r="K147" s="33">
        <v>0</v>
      </c>
      <c r="L147" s="33">
        <v>0</v>
      </c>
    </row>
    <row r="148" spans="1:12" x14ac:dyDescent="0.25">
      <c r="A148" s="449"/>
      <c r="B148" s="474"/>
      <c r="C148" s="480"/>
      <c r="D148" s="83" t="s">
        <v>90</v>
      </c>
      <c r="E148" s="28">
        <f t="shared" si="27"/>
        <v>0</v>
      </c>
      <c r="F148" s="33">
        <v>0</v>
      </c>
      <c r="G148" s="33">
        <v>0</v>
      </c>
      <c r="H148" s="33">
        <v>0</v>
      </c>
      <c r="I148" s="33">
        <v>0</v>
      </c>
      <c r="J148" s="33">
        <v>0</v>
      </c>
      <c r="K148" s="33">
        <v>0</v>
      </c>
      <c r="L148" s="33">
        <v>0</v>
      </c>
    </row>
    <row r="149" spans="1:12" x14ac:dyDescent="0.25">
      <c r="A149" s="449"/>
      <c r="B149" s="474"/>
      <c r="C149" s="481"/>
      <c r="D149" s="85" t="s">
        <v>18</v>
      </c>
      <c r="E149" s="28">
        <f t="shared" si="27"/>
        <v>203428.78454401158</v>
      </c>
      <c r="F149" s="33">
        <v>0</v>
      </c>
      <c r="G149" s="33">
        <v>0</v>
      </c>
      <c r="H149" s="30"/>
      <c r="I149" s="17">
        <f>4050.74049-250.3</f>
        <v>3800.44049</v>
      </c>
      <c r="J149" s="17">
        <f>(I143-J146)*103.3%</f>
        <v>15246.001155460008</v>
      </c>
      <c r="K149" s="17">
        <f>(J143-K146)*104%</f>
        <v>24201.247361678401</v>
      </c>
      <c r="L149" s="64">
        <f>(K143*6-L146)*104%</f>
        <v>160181.09553687315</v>
      </c>
    </row>
    <row r="150" spans="1:12" x14ac:dyDescent="0.25">
      <c r="A150" s="449"/>
      <c r="B150" s="474"/>
      <c r="C150" s="479" t="s">
        <v>197</v>
      </c>
      <c r="D150" s="85" t="s">
        <v>12</v>
      </c>
      <c r="E150" s="28">
        <f t="shared" si="27"/>
        <v>29767.122508875585</v>
      </c>
      <c r="F150" s="33">
        <f t="shared" ref="F150:H150" si="53">SUM(F151:F156)</f>
        <v>0</v>
      </c>
      <c r="G150" s="33">
        <f t="shared" si="53"/>
        <v>0</v>
      </c>
      <c r="H150" s="33">
        <f t="shared" si="53"/>
        <v>2986.2296200000001</v>
      </c>
      <c r="I150" s="33">
        <f>SUM(I151:I156)</f>
        <v>2813.8845200000001</v>
      </c>
      <c r="J150" s="33">
        <f t="shared" ref="J150:L150" si="54">SUM(J151:J156)</f>
        <v>2832.0373540400001</v>
      </c>
      <c r="K150" s="33">
        <f t="shared" si="54"/>
        <v>2931.0335426016004</v>
      </c>
      <c r="L150" s="33">
        <f t="shared" si="54"/>
        <v>18203.937472233985</v>
      </c>
    </row>
    <row r="151" spans="1:12" x14ac:dyDescent="0.25">
      <c r="A151" s="449"/>
      <c r="B151" s="474"/>
      <c r="C151" s="480"/>
      <c r="D151" s="51" t="s">
        <v>13</v>
      </c>
      <c r="E151" s="28">
        <f t="shared" si="27"/>
        <v>0</v>
      </c>
      <c r="F151" s="33"/>
      <c r="G151" s="33"/>
      <c r="H151" s="62"/>
      <c r="I151" s="31"/>
      <c r="J151" s="31"/>
      <c r="K151" s="31"/>
      <c r="L151" s="64"/>
    </row>
    <row r="152" spans="1:12" x14ac:dyDescent="0.25">
      <c r="A152" s="449"/>
      <c r="B152" s="474"/>
      <c r="C152" s="480"/>
      <c r="D152" s="51" t="s">
        <v>14</v>
      </c>
      <c r="E152" s="28">
        <f t="shared" si="27"/>
        <v>0</v>
      </c>
      <c r="F152" s="33"/>
      <c r="G152" s="33"/>
      <c r="H152" s="62"/>
      <c r="I152" s="31"/>
      <c r="J152" s="31"/>
      <c r="K152" s="31"/>
      <c r="L152" s="64"/>
    </row>
    <row r="153" spans="1:12" x14ac:dyDescent="0.25">
      <c r="A153" s="449"/>
      <c r="B153" s="474"/>
      <c r="C153" s="480"/>
      <c r="D153" s="85" t="s">
        <v>15</v>
      </c>
      <c r="E153" s="28">
        <f t="shared" si="27"/>
        <v>10313.54126</v>
      </c>
      <c r="F153" s="33"/>
      <c r="G153" s="33"/>
      <c r="H153" s="62">
        <v>2986.2296200000001</v>
      </c>
      <c r="I153" s="31">
        <v>2563.5845199999999</v>
      </c>
      <c r="J153" s="31">
        <v>2263.79864</v>
      </c>
      <c r="K153" s="31">
        <v>357.13263999999998</v>
      </c>
      <c r="L153" s="64">
        <f>K153*6</f>
        <v>2142.7958399999998</v>
      </c>
    </row>
    <row r="154" spans="1:12" ht="30" x14ac:dyDescent="0.25">
      <c r="A154" s="449"/>
      <c r="B154" s="474"/>
      <c r="C154" s="480"/>
      <c r="D154" s="83" t="s">
        <v>91</v>
      </c>
      <c r="E154" s="28">
        <f t="shared" si="27"/>
        <v>0</v>
      </c>
      <c r="F154" s="33"/>
      <c r="G154" s="33"/>
      <c r="H154" s="62"/>
      <c r="I154" s="31"/>
      <c r="J154" s="31"/>
      <c r="K154" s="31"/>
      <c r="L154" s="64"/>
    </row>
    <row r="155" spans="1:12" x14ac:dyDescent="0.25">
      <c r="A155" s="449"/>
      <c r="B155" s="474"/>
      <c r="C155" s="480"/>
      <c r="D155" s="83" t="s">
        <v>90</v>
      </c>
      <c r="E155" s="28">
        <f t="shared" si="27"/>
        <v>0</v>
      </c>
      <c r="F155" s="33"/>
      <c r="G155" s="33"/>
      <c r="H155" s="62"/>
      <c r="I155" s="31"/>
      <c r="J155" s="31"/>
      <c r="K155" s="31"/>
      <c r="L155" s="64"/>
    </row>
    <row r="156" spans="1:12" x14ac:dyDescent="0.25">
      <c r="A156" s="450"/>
      <c r="B156" s="475"/>
      <c r="C156" s="481"/>
      <c r="D156" s="85" t="s">
        <v>18</v>
      </c>
      <c r="E156" s="28">
        <f t="shared" si="27"/>
        <v>19453.581248875587</v>
      </c>
      <c r="F156" s="33"/>
      <c r="G156" s="33"/>
      <c r="H156" s="62"/>
      <c r="I156" s="31">
        <v>250.3</v>
      </c>
      <c r="J156" s="32">
        <f>(I150-J153)*103.3%</f>
        <v>568.23871403999999</v>
      </c>
      <c r="K156" s="32">
        <f>(J150-K153)*104%</f>
        <v>2573.9009026016006</v>
      </c>
      <c r="L156" s="64">
        <f>(K150*6-L153)*104%</f>
        <v>16061.141632233986</v>
      </c>
    </row>
    <row r="157" spans="1:12" x14ac:dyDescent="0.25">
      <c r="A157" s="448" t="s">
        <v>123</v>
      </c>
      <c r="B157" s="467" t="s">
        <v>188</v>
      </c>
      <c r="C157" s="457" t="s">
        <v>125</v>
      </c>
      <c r="D157" s="85" t="s">
        <v>12</v>
      </c>
      <c r="E157" s="28">
        <f t="shared" si="27"/>
        <v>250</v>
      </c>
      <c r="F157" s="28">
        <f t="shared" ref="F157:H157" si="55">SUM(F158:F163)</f>
        <v>0</v>
      </c>
      <c r="G157" s="28">
        <f t="shared" si="55"/>
        <v>50</v>
      </c>
      <c r="H157" s="34">
        <f t="shared" si="55"/>
        <v>50</v>
      </c>
      <c r="I157" s="34">
        <f>SUM(I158:I163)</f>
        <v>50</v>
      </c>
      <c r="J157" s="34">
        <f t="shared" ref="J157:L157" si="56">SUM(J158:J163)</f>
        <v>50</v>
      </c>
      <c r="K157" s="34">
        <f t="shared" si="56"/>
        <v>50</v>
      </c>
      <c r="L157" s="28">
        <f t="shared" si="56"/>
        <v>0</v>
      </c>
    </row>
    <row r="158" spans="1:12" x14ac:dyDescent="0.25">
      <c r="A158" s="449"/>
      <c r="B158" s="468"/>
      <c r="C158" s="457"/>
      <c r="D158" s="85" t="s">
        <v>13</v>
      </c>
      <c r="E158" s="28">
        <f t="shared" si="27"/>
        <v>0</v>
      </c>
      <c r="F158" s="28">
        <v>0</v>
      </c>
      <c r="G158" s="28">
        <v>0</v>
      </c>
      <c r="H158" s="28">
        <v>0</v>
      </c>
      <c r="I158" s="28">
        <v>0</v>
      </c>
      <c r="J158" s="28">
        <v>0</v>
      </c>
      <c r="K158" s="28">
        <v>0</v>
      </c>
      <c r="L158" s="28">
        <v>0</v>
      </c>
    </row>
    <row r="159" spans="1:12" x14ac:dyDescent="0.25">
      <c r="A159" s="449"/>
      <c r="B159" s="468"/>
      <c r="C159" s="457"/>
      <c r="D159" s="85" t="s">
        <v>14</v>
      </c>
      <c r="E159" s="28">
        <f t="shared" si="27"/>
        <v>0</v>
      </c>
      <c r="F159" s="28">
        <v>0</v>
      </c>
      <c r="G159" s="28">
        <v>0</v>
      </c>
      <c r="H159" s="28">
        <v>0</v>
      </c>
      <c r="I159" s="28">
        <v>0</v>
      </c>
      <c r="J159" s="28">
        <v>0</v>
      </c>
      <c r="K159" s="28">
        <v>0</v>
      </c>
      <c r="L159" s="28">
        <v>0</v>
      </c>
    </row>
    <row r="160" spans="1:12" x14ac:dyDescent="0.25">
      <c r="A160" s="449"/>
      <c r="B160" s="468"/>
      <c r="C160" s="457"/>
      <c r="D160" s="85" t="s">
        <v>15</v>
      </c>
      <c r="E160" s="28">
        <f t="shared" si="27"/>
        <v>250</v>
      </c>
      <c r="F160" s="28">
        <v>0</v>
      </c>
      <c r="G160" s="28">
        <v>50</v>
      </c>
      <c r="H160" s="28">
        <v>50</v>
      </c>
      <c r="I160" s="28">
        <v>50</v>
      </c>
      <c r="J160" s="28">
        <v>50</v>
      </c>
      <c r="K160" s="28">
        <v>50</v>
      </c>
      <c r="L160" s="28">
        <v>0</v>
      </c>
    </row>
    <row r="161" spans="1:12" ht="30" x14ac:dyDescent="0.25">
      <c r="A161" s="449"/>
      <c r="B161" s="468"/>
      <c r="C161" s="457"/>
      <c r="D161" s="83" t="s">
        <v>91</v>
      </c>
      <c r="E161" s="28">
        <f t="shared" si="27"/>
        <v>0</v>
      </c>
      <c r="F161" s="28">
        <v>0</v>
      </c>
      <c r="G161" s="28">
        <v>0</v>
      </c>
      <c r="H161" s="28">
        <v>0</v>
      </c>
      <c r="I161" s="28">
        <v>0</v>
      </c>
      <c r="J161" s="28">
        <v>0</v>
      </c>
      <c r="K161" s="28">
        <v>0</v>
      </c>
      <c r="L161" s="28">
        <v>0</v>
      </c>
    </row>
    <row r="162" spans="1:12" x14ac:dyDescent="0.25">
      <c r="A162" s="449"/>
      <c r="B162" s="468"/>
      <c r="C162" s="457"/>
      <c r="D162" s="83" t="s">
        <v>90</v>
      </c>
      <c r="E162" s="28">
        <f t="shared" si="27"/>
        <v>0</v>
      </c>
      <c r="F162" s="28">
        <v>0</v>
      </c>
      <c r="G162" s="28">
        <v>0</v>
      </c>
      <c r="H162" s="28">
        <v>0</v>
      </c>
      <c r="I162" s="28">
        <v>0</v>
      </c>
      <c r="J162" s="28">
        <v>0</v>
      </c>
      <c r="K162" s="28">
        <v>0</v>
      </c>
      <c r="L162" s="28">
        <v>0</v>
      </c>
    </row>
    <row r="163" spans="1:12" x14ac:dyDescent="0.25">
      <c r="A163" s="450"/>
      <c r="B163" s="469"/>
      <c r="C163" s="457"/>
      <c r="D163" s="85" t="s">
        <v>18</v>
      </c>
      <c r="E163" s="28">
        <f t="shared" si="27"/>
        <v>0</v>
      </c>
      <c r="F163" s="28">
        <v>0</v>
      </c>
      <c r="G163" s="28">
        <v>0</v>
      </c>
      <c r="H163" s="28">
        <v>0</v>
      </c>
      <c r="I163" s="28">
        <v>0</v>
      </c>
      <c r="J163" s="28">
        <v>0</v>
      </c>
      <c r="K163" s="28">
        <v>0</v>
      </c>
      <c r="L163" s="28">
        <v>0</v>
      </c>
    </row>
    <row r="164" spans="1:12" s="29" customFormat="1" x14ac:dyDescent="0.25">
      <c r="A164" s="458" t="s">
        <v>124</v>
      </c>
      <c r="B164" s="459"/>
      <c r="C164" s="460"/>
      <c r="D164" s="85" t="s">
        <v>12</v>
      </c>
      <c r="E164" s="28">
        <f t="shared" si="27"/>
        <v>4420061.861599626</v>
      </c>
      <c r="F164" s="71">
        <f t="shared" ref="F164:H164" si="57">SUM(F165:F170)</f>
        <v>304110.96789000003</v>
      </c>
      <c r="G164" s="28">
        <f t="shared" si="57"/>
        <v>330577.97645000002</v>
      </c>
      <c r="H164" s="28">
        <f t="shared" si="57"/>
        <v>313702.0514</v>
      </c>
      <c r="I164" s="28">
        <f>SUM(I165:I170)</f>
        <v>368765.23455000005</v>
      </c>
      <c r="J164" s="28">
        <f t="shared" ref="J164:L164" si="58">SUM(J165:J170)</f>
        <v>374801.46281174</v>
      </c>
      <c r="K164" s="28">
        <f t="shared" si="58"/>
        <v>383382.03145340958</v>
      </c>
      <c r="L164" s="28">
        <f t="shared" si="58"/>
        <v>2344722.1370444759</v>
      </c>
    </row>
    <row r="165" spans="1:12" s="29" customFormat="1" x14ac:dyDescent="0.25">
      <c r="A165" s="461"/>
      <c r="B165" s="462"/>
      <c r="C165" s="463"/>
      <c r="D165" s="85" t="s">
        <v>13</v>
      </c>
      <c r="E165" s="28">
        <f t="shared" si="27"/>
        <v>312.29999999999995</v>
      </c>
      <c r="F165" s="71">
        <f t="shared" ref="F165:L170" si="59">F81+F88+F95+F130+F137+F158</f>
        <v>13.6</v>
      </c>
      <c r="G165" s="28">
        <f t="shared" si="59"/>
        <v>0</v>
      </c>
      <c r="H165" s="28">
        <f t="shared" si="59"/>
        <v>50.9</v>
      </c>
      <c r="I165" s="28">
        <f t="shared" si="59"/>
        <v>82.6</v>
      </c>
      <c r="J165" s="28">
        <f t="shared" si="59"/>
        <v>82.6</v>
      </c>
      <c r="K165" s="28">
        <f t="shared" si="59"/>
        <v>82.6</v>
      </c>
      <c r="L165" s="28">
        <f t="shared" si="59"/>
        <v>0</v>
      </c>
    </row>
    <row r="166" spans="1:12" s="29" customFormat="1" x14ac:dyDescent="0.25">
      <c r="A166" s="461"/>
      <c r="B166" s="462"/>
      <c r="C166" s="463"/>
      <c r="D166" s="85" t="s">
        <v>14</v>
      </c>
      <c r="E166" s="28">
        <f t="shared" si="27"/>
        <v>5223.2445600000001</v>
      </c>
      <c r="F166" s="71">
        <f t="shared" si="59"/>
        <v>914.27727000000004</v>
      </c>
      <c r="G166" s="28">
        <f t="shared" si="59"/>
        <v>691.5</v>
      </c>
      <c r="H166" s="28">
        <f t="shared" si="59"/>
        <v>672.66728999999998</v>
      </c>
      <c r="I166" s="28">
        <f t="shared" si="59"/>
        <v>903.59999999999991</v>
      </c>
      <c r="J166" s="28">
        <f t="shared" si="59"/>
        <v>655</v>
      </c>
      <c r="K166" s="28">
        <f t="shared" si="59"/>
        <v>1386.2</v>
      </c>
      <c r="L166" s="28">
        <f t="shared" si="59"/>
        <v>0</v>
      </c>
    </row>
    <row r="167" spans="1:12" s="29" customFormat="1" x14ac:dyDescent="0.25">
      <c r="A167" s="461"/>
      <c r="B167" s="462"/>
      <c r="C167" s="463"/>
      <c r="D167" s="85" t="s">
        <v>15</v>
      </c>
      <c r="E167" s="28">
        <f t="shared" si="27"/>
        <v>2841038.4185700007</v>
      </c>
      <c r="F167" s="71">
        <f t="shared" si="59"/>
        <v>303183.09062000003</v>
      </c>
      <c r="G167" s="28">
        <f t="shared" si="59"/>
        <v>329886.47645000002</v>
      </c>
      <c r="H167" s="28">
        <f t="shared" si="59"/>
        <v>312978.48411000002</v>
      </c>
      <c r="I167" s="28">
        <f t="shared" si="59"/>
        <v>308038.89823000005</v>
      </c>
      <c r="J167" s="28">
        <f t="shared" si="59"/>
        <v>208200.74176999999</v>
      </c>
      <c r="K167" s="28">
        <f t="shared" si="59"/>
        <v>197007.24677</v>
      </c>
      <c r="L167" s="28">
        <f t="shared" si="59"/>
        <v>1181743.48062</v>
      </c>
    </row>
    <row r="168" spans="1:12" s="29" customFormat="1" ht="30" x14ac:dyDescent="0.25">
      <c r="A168" s="461"/>
      <c r="B168" s="462"/>
      <c r="C168" s="463"/>
      <c r="D168" s="83" t="s">
        <v>91</v>
      </c>
      <c r="E168" s="28">
        <f t="shared" si="27"/>
        <v>0</v>
      </c>
      <c r="F168" s="28">
        <f t="shared" si="59"/>
        <v>0</v>
      </c>
      <c r="G168" s="28">
        <f t="shared" si="59"/>
        <v>0</v>
      </c>
      <c r="H168" s="28">
        <f t="shared" si="59"/>
        <v>0</v>
      </c>
      <c r="I168" s="28">
        <f t="shared" si="59"/>
        <v>0</v>
      </c>
      <c r="J168" s="28">
        <f t="shared" si="59"/>
        <v>0</v>
      </c>
      <c r="K168" s="28">
        <f t="shared" si="59"/>
        <v>0</v>
      </c>
      <c r="L168" s="28">
        <f t="shared" si="59"/>
        <v>0</v>
      </c>
    </row>
    <row r="169" spans="1:12" s="29" customFormat="1" x14ac:dyDescent="0.25">
      <c r="A169" s="461"/>
      <c r="B169" s="462"/>
      <c r="C169" s="463"/>
      <c r="D169" s="83" t="s">
        <v>90</v>
      </c>
      <c r="E169" s="28">
        <f t="shared" si="27"/>
        <v>0</v>
      </c>
      <c r="F169" s="28">
        <f t="shared" si="59"/>
        <v>0</v>
      </c>
      <c r="G169" s="28">
        <f t="shared" si="59"/>
        <v>0</v>
      </c>
      <c r="H169" s="28">
        <f t="shared" si="59"/>
        <v>0</v>
      </c>
      <c r="I169" s="28">
        <f t="shared" si="59"/>
        <v>0</v>
      </c>
      <c r="J169" s="28">
        <f t="shared" si="59"/>
        <v>0</v>
      </c>
      <c r="K169" s="28">
        <f t="shared" si="59"/>
        <v>0</v>
      </c>
      <c r="L169" s="28">
        <f t="shared" si="59"/>
        <v>0</v>
      </c>
    </row>
    <row r="170" spans="1:12" s="29" customFormat="1" x14ac:dyDescent="0.25">
      <c r="A170" s="464"/>
      <c r="B170" s="465"/>
      <c r="C170" s="466"/>
      <c r="D170" s="85" t="s">
        <v>18</v>
      </c>
      <c r="E170" s="28">
        <f t="shared" si="27"/>
        <v>1573487.8984696255</v>
      </c>
      <c r="F170" s="28">
        <f t="shared" si="59"/>
        <v>0</v>
      </c>
      <c r="G170" s="28">
        <f t="shared" si="59"/>
        <v>0</v>
      </c>
      <c r="H170" s="28">
        <f t="shared" si="59"/>
        <v>0</v>
      </c>
      <c r="I170" s="28">
        <f t="shared" si="59"/>
        <v>59740.136320000005</v>
      </c>
      <c r="J170" s="28">
        <f t="shared" si="59"/>
        <v>165863.12104174003</v>
      </c>
      <c r="K170" s="28">
        <f t="shared" si="59"/>
        <v>184905.9846834096</v>
      </c>
      <c r="L170" s="28">
        <f t="shared" si="59"/>
        <v>1162978.6564244758</v>
      </c>
    </row>
    <row r="171" spans="1:12" s="29" customFormat="1" x14ac:dyDescent="0.25">
      <c r="A171" s="441" t="s">
        <v>146</v>
      </c>
      <c r="B171" s="441"/>
      <c r="C171" s="441"/>
      <c r="D171" s="441"/>
      <c r="E171" s="441"/>
      <c r="F171" s="441"/>
      <c r="G171" s="441"/>
      <c r="H171" s="441"/>
      <c r="I171" s="441"/>
      <c r="J171" s="441"/>
      <c r="K171" s="441"/>
      <c r="L171" s="441"/>
    </row>
    <row r="172" spans="1:12" x14ac:dyDescent="0.25">
      <c r="A172" s="448" t="s">
        <v>126</v>
      </c>
      <c r="B172" s="473" t="s">
        <v>189</v>
      </c>
      <c r="C172" s="445" t="s">
        <v>120</v>
      </c>
      <c r="D172" s="85" t="s">
        <v>12</v>
      </c>
      <c r="E172" s="28">
        <f t="shared" ref="E172:E249" si="60">SUM(F172:L172)</f>
        <v>1184280.8231254411</v>
      </c>
      <c r="F172" s="71">
        <f t="shared" ref="F172:H172" si="61">SUM(F173:F178)</f>
        <v>92851.372900000002</v>
      </c>
      <c r="G172" s="28">
        <f t="shared" si="61"/>
        <v>92018.475919999997</v>
      </c>
      <c r="H172" s="28">
        <f t="shared" si="61"/>
        <v>100174.59561</v>
      </c>
      <c r="I172" s="28">
        <f>SUM(I173:I178)</f>
        <v>98401.142879999999</v>
      </c>
      <c r="J172" s="28">
        <f t="shared" ref="J172:L172" si="62">SUM(J173:J178)</f>
        <v>98845.839042569991</v>
      </c>
      <c r="K172" s="28">
        <f t="shared" si="62"/>
        <v>99606.301540672794</v>
      </c>
      <c r="L172" s="28">
        <f t="shared" si="62"/>
        <v>602383.09523219825</v>
      </c>
    </row>
    <row r="173" spans="1:12" x14ac:dyDescent="0.25">
      <c r="A173" s="449"/>
      <c r="B173" s="474"/>
      <c r="C173" s="446"/>
      <c r="D173" s="85" t="s">
        <v>13</v>
      </c>
      <c r="E173" s="28">
        <f t="shared" si="60"/>
        <v>0</v>
      </c>
      <c r="F173" s="28">
        <f>F180+F187</f>
        <v>0</v>
      </c>
      <c r="G173" s="28">
        <f t="shared" ref="G173:L173" si="63">G180+G187</f>
        <v>0</v>
      </c>
      <c r="H173" s="28">
        <f t="shared" si="63"/>
        <v>0</v>
      </c>
      <c r="I173" s="28">
        <f t="shared" si="63"/>
        <v>0</v>
      </c>
      <c r="J173" s="28">
        <f t="shared" si="63"/>
        <v>0</v>
      </c>
      <c r="K173" s="28">
        <f t="shared" si="63"/>
        <v>0</v>
      </c>
      <c r="L173" s="28">
        <f t="shared" si="63"/>
        <v>0</v>
      </c>
    </row>
    <row r="174" spans="1:12" x14ac:dyDescent="0.25">
      <c r="A174" s="449"/>
      <c r="B174" s="474"/>
      <c r="C174" s="446"/>
      <c r="D174" s="85" t="s">
        <v>14</v>
      </c>
      <c r="E174" s="28">
        <f t="shared" si="60"/>
        <v>0</v>
      </c>
      <c r="F174" s="28">
        <f t="shared" ref="F174:L178" si="64">F181+F188</f>
        <v>0</v>
      </c>
      <c r="G174" s="28">
        <f t="shared" si="64"/>
        <v>0</v>
      </c>
      <c r="H174" s="28">
        <f t="shared" si="64"/>
        <v>0</v>
      </c>
      <c r="I174" s="28">
        <f t="shared" si="64"/>
        <v>0</v>
      </c>
      <c r="J174" s="28">
        <f t="shared" si="64"/>
        <v>0</v>
      </c>
      <c r="K174" s="28">
        <f t="shared" si="64"/>
        <v>0</v>
      </c>
      <c r="L174" s="28">
        <f t="shared" si="64"/>
        <v>0</v>
      </c>
    </row>
    <row r="175" spans="1:12" x14ac:dyDescent="0.25">
      <c r="A175" s="449"/>
      <c r="B175" s="474"/>
      <c r="C175" s="446"/>
      <c r="D175" s="85" t="s">
        <v>15</v>
      </c>
      <c r="E175" s="28">
        <f t="shared" si="60"/>
        <v>1022478.8837400001</v>
      </c>
      <c r="F175" s="71">
        <f t="shared" si="64"/>
        <v>92851.372900000002</v>
      </c>
      <c r="G175" s="28">
        <f t="shared" si="64"/>
        <v>92018.475919999997</v>
      </c>
      <c r="H175" s="28">
        <f t="shared" si="64"/>
        <v>100174.59561</v>
      </c>
      <c r="I175" s="28">
        <f t="shared" si="64"/>
        <v>93669.00159</v>
      </c>
      <c r="J175" s="28">
        <f t="shared" si="64"/>
        <v>84925.50159</v>
      </c>
      <c r="K175" s="28">
        <f t="shared" si="64"/>
        <v>79834.276589999994</v>
      </c>
      <c r="L175" s="28">
        <f t="shared" si="64"/>
        <v>479005.65954000002</v>
      </c>
    </row>
    <row r="176" spans="1:12" ht="30" x14ac:dyDescent="0.25">
      <c r="A176" s="449"/>
      <c r="B176" s="474"/>
      <c r="C176" s="446"/>
      <c r="D176" s="83" t="s">
        <v>91</v>
      </c>
      <c r="E176" s="28">
        <f t="shared" si="60"/>
        <v>0</v>
      </c>
      <c r="F176" s="28">
        <f t="shared" si="64"/>
        <v>0</v>
      </c>
      <c r="G176" s="28">
        <f t="shared" si="64"/>
        <v>0</v>
      </c>
      <c r="H176" s="28">
        <f t="shared" si="64"/>
        <v>0</v>
      </c>
      <c r="I176" s="28">
        <f t="shared" si="64"/>
        <v>0</v>
      </c>
      <c r="J176" s="28">
        <f t="shared" si="64"/>
        <v>0</v>
      </c>
      <c r="K176" s="28">
        <f t="shared" si="64"/>
        <v>0</v>
      </c>
      <c r="L176" s="28">
        <f t="shared" si="64"/>
        <v>0</v>
      </c>
    </row>
    <row r="177" spans="1:12" x14ac:dyDescent="0.25">
      <c r="A177" s="449"/>
      <c r="B177" s="474"/>
      <c r="C177" s="446"/>
      <c r="D177" s="83" t="s">
        <v>90</v>
      </c>
      <c r="E177" s="28">
        <f t="shared" si="60"/>
        <v>0</v>
      </c>
      <c r="F177" s="28">
        <f t="shared" si="64"/>
        <v>0</v>
      </c>
      <c r="G177" s="28">
        <f t="shared" si="64"/>
        <v>0</v>
      </c>
      <c r="H177" s="28">
        <f t="shared" si="64"/>
        <v>0</v>
      </c>
      <c r="I177" s="28">
        <f t="shared" si="64"/>
        <v>0</v>
      </c>
      <c r="J177" s="28">
        <f t="shared" si="64"/>
        <v>0</v>
      </c>
      <c r="K177" s="28">
        <f t="shared" si="64"/>
        <v>0</v>
      </c>
      <c r="L177" s="28">
        <f t="shared" si="64"/>
        <v>0</v>
      </c>
    </row>
    <row r="178" spans="1:12" x14ac:dyDescent="0.25">
      <c r="A178" s="449"/>
      <c r="B178" s="474"/>
      <c r="C178" s="447"/>
      <c r="D178" s="85" t="s">
        <v>18</v>
      </c>
      <c r="E178" s="28">
        <f t="shared" si="60"/>
        <v>161801.93938544104</v>
      </c>
      <c r="F178" s="28">
        <f t="shared" si="64"/>
        <v>0</v>
      </c>
      <c r="G178" s="28">
        <f t="shared" si="64"/>
        <v>0</v>
      </c>
      <c r="H178" s="28">
        <f t="shared" si="64"/>
        <v>0</v>
      </c>
      <c r="I178" s="28">
        <f t="shared" si="64"/>
        <v>4732.1412899999996</v>
      </c>
      <c r="J178" s="28">
        <f t="shared" si="64"/>
        <v>13920.337452569991</v>
      </c>
      <c r="K178" s="28">
        <f t="shared" si="64"/>
        <v>19772.0249506728</v>
      </c>
      <c r="L178" s="28">
        <f t="shared" si="64"/>
        <v>123377.43569219825</v>
      </c>
    </row>
    <row r="179" spans="1:12" x14ac:dyDescent="0.25">
      <c r="A179" s="449"/>
      <c r="B179" s="474"/>
      <c r="C179" s="445" t="s">
        <v>125</v>
      </c>
      <c r="D179" s="85" t="s">
        <v>12</v>
      </c>
      <c r="E179" s="28">
        <f t="shared" ref="E179:E192" si="65">SUM(F179:L179)</f>
        <v>470742.06716208335</v>
      </c>
      <c r="F179" s="71">
        <f t="shared" ref="F179:H179" si="66">SUM(F180:F185)</f>
        <v>92851.372900000002</v>
      </c>
      <c r="G179" s="28">
        <f t="shared" si="66"/>
        <v>92018.475919999997</v>
      </c>
      <c r="H179" s="28">
        <f t="shared" si="66"/>
        <v>28346.295800000007</v>
      </c>
      <c r="I179" s="28">
        <f>SUM(I180:I185)</f>
        <v>28418.727789999997</v>
      </c>
      <c r="J179" s="28">
        <f t="shared" ref="J179:L179" si="67">SUM(J180:J185)</f>
        <v>28464.123334809996</v>
      </c>
      <c r="K179" s="28">
        <f t="shared" si="67"/>
        <v>28569.426059402394</v>
      </c>
      <c r="L179" s="28">
        <f t="shared" si="67"/>
        <v>172073.64535787093</v>
      </c>
    </row>
    <row r="180" spans="1:12" x14ac:dyDescent="0.25">
      <c r="A180" s="449"/>
      <c r="B180" s="474"/>
      <c r="C180" s="446"/>
      <c r="D180" s="85" t="s">
        <v>13</v>
      </c>
      <c r="E180" s="28">
        <f t="shared" si="65"/>
        <v>0</v>
      </c>
      <c r="F180" s="33">
        <v>0</v>
      </c>
      <c r="G180" s="33">
        <v>0</v>
      </c>
      <c r="H180" s="33">
        <v>0</v>
      </c>
      <c r="I180" s="33">
        <v>0</v>
      </c>
      <c r="J180" s="33">
        <v>0</v>
      </c>
      <c r="K180" s="33">
        <v>0</v>
      </c>
      <c r="L180" s="33">
        <v>0</v>
      </c>
    </row>
    <row r="181" spans="1:12" x14ac:dyDescent="0.25">
      <c r="A181" s="449"/>
      <c r="B181" s="474"/>
      <c r="C181" s="446"/>
      <c r="D181" s="85" t="s">
        <v>14</v>
      </c>
      <c r="E181" s="28">
        <f t="shared" si="65"/>
        <v>0</v>
      </c>
      <c r="F181" s="33">
        <v>0</v>
      </c>
      <c r="G181" s="33">
        <v>0</v>
      </c>
      <c r="H181" s="33">
        <v>0</v>
      </c>
      <c r="I181" s="33">
        <v>0</v>
      </c>
      <c r="J181" s="33">
        <v>0</v>
      </c>
      <c r="K181" s="33">
        <v>0</v>
      </c>
      <c r="L181" s="33">
        <v>0</v>
      </c>
    </row>
    <row r="182" spans="1:12" x14ac:dyDescent="0.25">
      <c r="A182" s="449"/>
      <c r="B182" s="474"/>
      <c r="C182" s="446"/>
      <c r="D182" s="85" t="s">
        <v>15</v>
      </c>
      <c r="E182" s="28">
        <f t="shared" si="65"/>
        <v>448479.24159999995</v>
      </c>
      <c r="F182" s="74">
        <f>82544.55051+66.45686+9630.86553+269.5+340</f>
        <v>92851.372900000002</v>
      </c>
      <c r="G182" s="33">
        <f>91909.77592-1-22+2680+637-350.3-2835</f>
        <v>92018.475919999997</v>
      </c>
      <c r="H182" s="33">
        <f>100174.59561-71828.29981</f>
        <v>28346.295800000007</v>
      </c>
      <c r="I182" s="33">
        <f>93669.00159-66269.89637</f>
        <v>27399.105219999998</v>
      </c>
      <c r="J182" s="33">
        <f>84925.50159-57882.39637</f>
        <v>27043.105219999998</v>
      </c>
      <c r="K182" s="33">
        <f>79834.27659-54002.72137</f>
        <v>25831.555219999995</v>
      </c>
      <c r="L182" s="33">
        <f>K182*6</f>
        <v>154989.33131999997</v>
      </c>
    </row>
    <row r="183" spans="1:12" ht="30" x14ac:dyDescent="0.25">
      <c r="A183" s="449"/>
      <c r="B183" s="474"/>
      <c r="C183" s="446"/>
      <c r="D183" s="83" t="s">
        <v>91</v>
      </c>
      <c r="E183" s="28">
        <f t="shared" si="65"/>
        <v>0</v>
      </c>
      <c r="F183" s="33">
        <v>0</v>
      </c>
      <c r="G183" s="33">
        <v>0</v>
      </c>
      <c r="H183" s="33">
        <v>0</v>
      </c>
      <c r="I183" s="33">
        <v>0</v>
      </c>
      <c r="J183" s="33">
        <v>0</v>
      </c>
      <c r="K183" s="33">
        <v>0</v>
      </c>
      <c r="L183" s="33">
        <v>0</v>
      </c>
    </row>
    <row r="184" spans="1:12" x14ac:dyDescent="0.25">
      <c r="A184" s="449"/>
      <c r="B184" s="474"/>
      <c r="C184" s="446"/>
      <c r="D184" s="83" t="s">
        <v>90</v>
      </c>
      <c r="E184" s="28">
        <f t="shared" si="65"/>
        <v>0</v>
      </c>
      <c r="F184" s="33">
        <v>0</v>
      </c>
      <c r="G184" s="33">
        <v>0</v>
      </c>
      <c r="H184" s="33">
        <v>0</v>
      </c>
      <c r="I184" s="65">
        <v>0</v>
      </c>
      <c r="J184" s="33">
        <v>0</v>
      </c>
      <c r="K184" s="33">
        <v>0</v>
      </c>
      <c r="L184" s="33">
        <v>0</v>
      </c>
    </row>
    <row r="185" spans="1:12" x14ac:dyDescent="0.25">
      <c r="A185" s="449"/>
      <c r="B185" s="474"/>
      <c r="C185" s="447"/>
      <c r="D185" s="85" t="s">
        <v>18</v>
      </c>
      <c r="E185" s="28">
        <f t="shared" si="65"/>
        <v>22262.825562083373</v>
      </c>
      <c r="F185" s="33">
        <v>0</v>
      </c>
      <c r="G185" s="33">
        <v>0</v>
      </c>
      <c r="H185" s="66">
        <v>0</v>
      </c>
      <c r="I185" s="17">
        <f>4732.14129-3712.51872</f>
        <v>1019.6225699999995</v>
      </c>
      <c r="J185" s="32">
        <f>(I179-J182)*103.3%</f>
        <v>1421.0181148099994</v>
      </c>
      <c r="K185" s="32">
        <f>(J179-K182)*104%</f>
        <v>2737.8708394024011</v>
      </c>
      <c r="L185" s="64">
        <f>(K179*6-L182)*104%</f>
        <v>17084.314037870976</v>
      </c>
    </row>
    <row r="186" spans="1:12" x14ac:dyDescent="0.25">
      <c r="A186" s="449"/>
      <c r="B186" s="474"/>
      <c r="C186" s="445" t="s">
        <v>197</v>
      </c>
      <c r="D186" s="85" t="s">
        <v>12</v>
      </c>
      <c r="E186" s="28">
        <f t="shared" si="65"/>
        <v>713538.75596335763</v>
      </c>
      <c r="F186" s="33">
        <f t="shared" ref="F186:H186" si="68">SUM(F187:F192)</f>
        <v>0</v>
      </c>
      <c r="G186" s="33">
        <f t="shared" si="68"/>
        <v>0</v>
      </c>
      <c r="H186" s="33">
        <f t="shared" si="68"/>
        <v>71828.299809999997</v>
      </c>
      <c r="I186" s="33">
        <f>SUM(I187:I192)</f>
        <v>69982.415089999995</v>
      </c>
      <c r="J186" s="33">
        <f t="shared" ref="J186:L186" si="69">SUM(J187:J192)</f>
        <v>70381.715707759999</v>
      </c>
      <c r="K186" s="33">
        <f t="shared" si="69"/>
        <v>71036.875481270399</v>
      </c>
      <c r="L186" s="33">
        <f t="shared" si="69"/>
        <v>430309.44987432729</v>
      </c>
    </row>
    <row r="187" spans="1:12" x14ac:dyDescent="0.25">
      <c r="A187" s="449"/>
      <c r="B187" s="474"/>
      <c r="C187" s="446"/>
      <c r="D187" s="85" t="s">
        <v>13</v>
      </c>
      <c r="E187" s="28">
        <f t="shared" si="65"/>
        <v>0</v>
      </c>
      <c r="F187" s="33"/>
      <c r="G187" s="33"/>
      <c r="H187" s="66"/>
      <c r="I187" s="31"/>
      <c r="J187" s="64"/>
      <c r="K187" s="33"/>
      <c r="L187" s="64"/>
    </row>
    <row r="188" spans="1:12" x14ac:dyDescent="0.25">
      <c r="A188" s="449"/>
      <c r="B188" s="474"/>
      <c r="C188" s="446"/>
      <c r="D188" s="85" t="s">
        <v>14</v>
      </c>
      <c r="E188" s="28">
        <f t="shared" si="65"/>
        <v>0</v>
      </c>
      <c r="F188" s="33"/>
      <c r="G188" s="33"/>
      <c r="H188" s="66"/>
      <c r="I188" s="31"/>
      <c r="J188" s="64"/>
      <c r="K188" s="33"/>
      <c r="L188" s="64"/>
    </row>
    <row r="189" spans="1:12" x14ac:dyDescent="0.25">
      <c r="A189" s="449"/>
      <c r="B189" s="474"/>
      <c r="C189" s="446"/>
      <c r="D189" s="85" t="s">
        <v>15</v>
      </c>
      <c r="E189" s="28">
        <f t="shared" si="65"/>
        <v>573999.64214000001</v>
      </c>
      <c r="F189" s="33"/>
      <c r="G189" s="33"/>
      <c r="H189" s="66">
        <v>71828.299809999997</v>
      </c>
      <c r="I189" s="31">
        <v>66269.896370000002</v>
      </c>
      <c r="J189" s="64">
        <v>57882.396370000002</v>
      </c>
      <c r="K189" s="33">
        <v>54002.721369999999</v>
      </c>
      <c r="L189" s="64">
        <f>K189*6</f>
        <v>324016.32822000002</v>
      </c>
    </row>
    <row r="190" spans="1:12" ht="30" x14ac:dyDescent="0.25">
      <c r="A190" s="449"/>
      <c r="B190" s="474"/>
      <c r="C190" s="446"/>
      <c r="D190" s="83" t="s">
        <v>91</v>
      </c>
      <c r="E190" s="28">
        <f t="shared" si="65"/>
        <v>0</v>
      </c>
      <c r="F190" s="33"/>
      <c r="G190" s="33"/>
      <c r="H190" s="66"/>
      <c r="I190" s="31"/>
      <c r="J190" s="64"/>
      <c r="K190" s="33"/>
      <c r="L190" s="64"/>
    </row>
    <row r="191" spans="1:12" x14ac:dyDescent="0.25">
      <c r="A191" s="449"/>
      <c r="B191" s="474"/>
      <c r="C191" s="446"/>
      <c r="D191" s="83" t="s">
        <v>90</v>
      </c>
      <c r="E191" s="28">
        <f t="shared" si="65"/>
        <v>0</v>
      </c>
      <c r="F191" s="33"/>
      <c r="G191" s="33"/>
      <c r="H191" s="66"/>
      <c r="I191" s="31"/>
      <c r="J191" s="64"/>
      <c r="K191" s="33"/>
      <c r="L191" s="64"/>
    </row>
    <row r="192" spans="1:12" x14ac:dyDescent="0.25">
      <c r="A192" s="450"/>
      <c r="B192" s="475"/>
      <c r="C192" s="447"/>
      <c r="D192" s="85" t="s">
        <v>18</v>
      </c>
      <c r="E192" s="28">
        <f t="shared" si="65"/>
        <v>139539.11382335768</v>
      </c>
      <c r="F192" s="33"/>
      <c r="G192" s="33"/>
      <c r="H192" s="66"/>
      <c r="I192" s="31">
        <v>3712.51872</v>
      </c>
      <c r="J192" s="32">
        <f>(I186-J189)*103.3%</f>
        <v>12499.319337759991</v>
      </c>
      <c r="K192" s="32">
        <f>(J186-K189)*104%</f>
        <v>17034.1541112704</v>
      </c>
      <c r="L192" s="64">
        <f>(K186*6-L189)*104%</f>
        <v>106293.12165432727</v>
      </c>
    </row>
    <row r="193" spans="1:12" x14ac:dyDescent="0.25">
      <c r="A193" s="448" t="s">
        <v>127</v>
      </c>
      <c r="B193" s="467" t="s">
        <v>190</v>
      </c>
      <c r="C193" s="457" t="s">
        <v>125</v>
      </c>
      <c r="D193" s="85" t="s">
        <v>12</v>
      </c>
      <c r="E193" s="28">
        <f t="shared" si="60"/>
        <v>770</v>
      </c>
      <c r="F193" s="33">
        <f t="shared" ref="F193:H193" si="70">SUM(F194:F199)</f>
        <v>0</v>
      </c>
      <c r="G193" s="33">
        <f>SUM(G194:G199)</f>
        <v>70</v>
      </c>
      <c r="H193" s="33">
        <f t="shared" si="70"/>
        <v>70</v>
      </c>
      <c r="I193" s="63">
        <f>SUM(I194:I199)</f>
        <v>70</v>
      </c>
      <c r="J193" s="33">
        <f t="shared" ref="J193:L193" si="71">SUM(J194:J199)</f>
        <v>70</v>
      </c>
      <c r="K193" s="33">
        <f t="shared" si="71"/>
        <v>70</v>
      </c>
      <c r="L193" s="33">
        <f t="shared" si="71"/>
        <v>420</v>
      </c>
    </row>
    <row r="194" spans="1:12" x14ac:dyDescent="0.25">
      <c r="A194" s="449"/>
      <c r="B194" s="468"/>
      <c r="C194" s="457"/>
      <c r="D194" s="85" t="s">
        <v>13</v>
      </c>
      <c r="E194" s="28">
        <f t="shared" si="60"/>
        <v>0</v>
      </c>
      <c r="F194" s="28">
        <v>0</v>
      </c>
      <c r="G194" s="28">
        <v>0</v>
      </c>
      <c r="H194" s="28">
        <v>0</v>
      </c>
      <c r="I194" s="28">
        <v>0</v>
      </c>
      <c r="J194" s="28">
        <v>0</v>
      </c>
      <c r="K194" s="28">
        <v>0</v>
      </c>
      <c r="L194" s="28">
        <v>0</v>
      </c>
    </row>
    <row r="195" spans="1:12" x14ac:dyDescent="0.25">
      <c r="A195" s="449"/>
      <c r="B195" s="468"/>
      <c r="C195" s="457"/>
      <c r="D195" s="85" t="s">
        <v>14</v>
      </c>
      <c r="E195" s="28">
        <f t="shared" si="60"/>
        <v>0</v>
      </c>
      <c r="F195" s="28">
        <v>0</v>
      </c>
      <c r="G195" s="28">
        <v>0</v>
      </c>
      <c r="H195" s="28">
        <v>0</v>
      </c>
      <c r="I195" s="28">
        <v>0</v>
      </c>
      <c r="J195" s="28">
        <v>0</v>
      </c>
      <c r="K195" s="28">
        <v>0</v>
      </c>
      <c r="L195" s="28">
        <v>0</v>
      </c>
    </row>
    <row r="196" spans="1:12" x14ac:dyDescent="0.25">
      <c r="A196" s="449"/>
      <c r="B196" s="468"/>
      <c r="C196" s="457"/>
      <c r="D196" s="85" t="s">
        <v>15</v>
      </c>
      <c r="E196" s="28">
        <f t="shared" si="60"/>
        <v>770</v>
      </c>
      <c r="F196" s="28">
        <v>0</v>
      </c>
      <c r="G196" s="28">
        <v>70</v>
      </c>
      <c r="H196" s="28">
        <v>70</v>
      </c>
      <c r="I196" s="28">
        <v>70</v>
      </c>
      <c r="J196" s="28">
        <v>70</v>
      </c>
      <c r="K196" s="28">
        <v>70</v>
      </c>
      <c r="L196" s="28">
        <f>K196*6</f>
        <v>420</v>
      </c>
    </row>
    <row r="197" spans="1:12" ht="30" x14ac:dyDescent="0.25">
      <c r="A197" s="449"/>
      <c r="B197" s="468"/>
      <c r="C197" s="457"/>
      <c r="D197" s="83" t="s">
        <v>91</v>
      </c>
      <c r="E197" s="28">
        <f t="shared" si="60"/>
        <v>0</v>
      </c>
      <c r="F197" s="28">
        <v>0</v>
      </c>
      <c r="G197" s="28">
        <v>0</v>
      </c>
      <c r="H197" s="28">
        <v>0</v>
      </c>
      <c r="I197" s="28">
        <v>0</v>
      </c>
      <c r="J197" s="28">
        <v>0</v>
      </c>
      <c r="K197" s="28">
        <v>0</v>
      </c>
      <c r="L197" s="28">
        <v>0</v>
      </c>
    </row>
    <row r="198" spans="1:12" x14ac:dyDescent="0.25">
      <c r="A198" s="449"/>
      <c r="B198" s="468"/>
      <c r="C198" s="457"/>
      <c r="D198" s="83" t="s">
        <v>90</v>
      </c>
      <c r="E198" s="28">
        <f t="shared" si="60"/>
        <v>0</v>
      </c>
      <c r="F198" s="28">
        <v>0</v>
      </c>
      <c r="G198" s="28">
        <v>0</v>
      </c>
      <c r="H198" s="28">
        <v>0</v>
      </c>
      <c r="I198" s="28">
        <v>0</v>
      </c>
      <c r="J198" s="28">
        <v>0</v>
      </c>
      <c r="K198" s="28">
        <v>0</v>
      </c>
      <c r="L198" s="28">
        <v>0</v>
      </c>
    </row>
    <row r="199" spans="1:12" x14ac:dyDescent="0.25">
      <c r="A199" s="450"/>
      <c r="B199" s="469"/>
      <c r="C199" s="457"/>
      <c r="D199" s="85" t="s">
        <v>18</v>
      </c>
      <c r="E199" s="28">
        <f t="shared" si="60"/>
        <v>0</v>
      </c>
      <c r="F199" s="28">
        <v>0</v>
      </c>
      <c r="G199" s="28">
        <v>0</v>
      </c>
      <c r="H199" s="28">
        <v>0</v>
      </c>
      <c r="I199" s="28">
        <v>0</v>
      </c>
      <c r="J199" s="28">
        <v>0</v>
      </c>
      <c r="K199" s="28">
        <v>0</v>
      </c>
      <c r="L199" s="28">
        <v>0</v>
      </c>
    </row>
    <row r="200" spans="1:12" x14ac:dyDescent="0.25">
      <c r="A200" s="458" t="s">
        <v>128</v>
      </c>
      <c r="B200" s="459"/>
      <c r="C200" s="460"/>
      <c r="D200" s="85" t="s">
        <v>12</v>
      </c>
      <c r="E200" s="28">
        <f t="shared" si="60"/>
        <v>1185050.8231254411</v>
      </c>
      <c r="F200" s="71">
        <f t="shared" ref="F200:H200" si="72">SUM(F201:F206)</f>
        <v>92851.372900000002</v>
      </c>
      <c r="G200" s="28">
        <f t="shared" si="72"/>
        <v>92088.475919999997</v>
      </c>
      <c r="H200" s="28">
        <f t="shared" si="72"/>
        <v>100244.59561</v>
      </c>
      <c r="I200" s="28">
        <f>SUM(I201:I206)</f>
        <v>98471.142879999999</v>
      </c>
      <c r="J200" s="28">
        <f t="shared" ref="J200:L200" si="73">SUM(J201:J206)</f>
        <v>98915.839042569991</v>
      </c>
      <c r="K200" s="28">
        <f t="shared" si="73"/>
        <v>99676.301540672794</v>
      </c>
      <c r="L200" s="28">
        <f t="shared" si="73"/>
        <v>602803.09523219825</v>
      </c>
    </row>
    <row r="201" spans="1:12" x14ac:dyDescent="0.25">
      <c r="A201" s="461"/>
      <c r="B201" s="462"/>
      <c r="C201" s="463"/>
      <c r="D201" s="85" t="s">
        <v>13</v>
      </c>
      <c r="E201" s="28">
        <f t="shared" si="60"/>
        <v>0</v>
      </c>
      <c r="F201" s="28">
        <f>F173+F194</f>
        <v>0</v>
      </c>
      <c r="G201" s="28">
        <f t="shared" ref="G201:H201" si="74">G173+G194</f>
        <v>0</v>
      </c>
      <c r="H201" s="28">
        <f t="shared" si="74"/>
        <v>0</v>
      </c>
      <c r="I201" s="28">
        <f>I173+I194</f>
        <v>0</v>
      </c>
      <c r="J201" s="28">
        <f t="shared" ref="J201:L201" si="75">J173+J194</f>
        <v>0</v>
      </c>
      <c r="K201" s="28">
        <f t="shared" si="75"/>
        <v>0</v>
      </c>
      <c r="L201" s="28">
        <f t="shared" si="75"/>
        <v>0</v>
      </c>
    </row>
    <row r="202" spans="1:12" x14ac:dyDescent="0.25">
      <c r="A202" s="461"/>
      <c r="B202" s="462"/>
      <c r="C202" s="463"/>
      <c r="D202" s="85" t="s">
        <v>14</v>
      </c>
      <c r="E202" s="28">
        <f t="shared" si="60"/>
        <v>0</v>
      </c>
      <c r="F202" s="28">
        <f t="shared" ref="F202:L206" si="76">F174+F195</f>
        <v>0</v>
      </c>
      <c r="G202" s="28">
        <f t="shared" si="76"/>
        <v>0</v>
      </c>
      <c r="H202" s="28">
        <f t="shared" si="76"/>
        <v>0</v>
      </c>
      <c r="I202" s="28">
        <f t="shared" si="76"/>
        <v>0</v>
      </c>
      <c r="J202" s="28">
        <f t="shared" si="76"/>
        <v>0</v>
      </c>
      <c r="K202" s="28">
        <f t="shared" si="76"/>
        <v>0</v>
      </c>
      <c r="L202" s="28">
        <f t="shared" si="76"/>
        <v>0</v>
      </c>
    </row>
    <row r="203" spans="1:12" x14ac:dyDescent="0.25">
      <c r="A203" s="461"/>
      <c r="B203" s="462"/>
      <c r="C203" s="463"/>
      <c r="D203" s="85" t="s">
        <v>15</v>
      </c>
      <c r="E203" s="28">
        <f t="shared" si="60"/>
        <v>1023248.8837400001</v>
      </c>
      <c r="F203" s="71">
        <f t="shared" si="76"/>
        <v>92851.372900000002</v>
      </c>
      <c r="G203" s="28">
        <f t="shared" si="76"/>
        <v>92088.475919999997</v>
      </c>
      <c r="H203" s="28">
        <f t="shared" si="76"/>
        <v>100244.59561</v>
      </c>
      <c r="I203" s="28">
        <f t="shared" si="76"/>
        <v>93739.00159</v>
      </c>
      <c r="J203" s="28">
        <f t="shared" si="76"/>
        <v>84995.50159</v>
      </c>
      <c r="K203" s="28">
        <f t="shared" si="76"/>
        <v>79904.276589999994</v>
      </c>
      <c r="L203" s="28">
        <f t="shared" si="76"/>
        <v>479425.65954000002</v>
      </c>
    </row>
    <row r="204" spans="1:12" ht="30" x14ac:dyDescent="0.25">
      <c r="A204" s="461"/>
      <c r="B204" s="462"/>
      <c r="C204" s="463"/>
      <c r="D204" s="83" t="s">
        <v>91</v>
      </c>
      <c r="E204" s="28">
        <f t="shared" si="60"/>
        <v>0</v>
      </c>
      <c r="F204" s="28">
        <f t="shared" si="76"/>
        <v>0</v>
      </c>
      <c r="G204" s="28">
        <f t="shared" si="76"/>
        <v>0</v>
      </c>
      <c r="H204" s="28">
        <f t="shared" si="76"/>
        <v>0</v>
      </c>
      <c r="I204" s="28">
        <f t="shared" si="76"/>
        <v>0</v>
      </c>
      <c r="J204" s="28">
        <f t="shared" si="76"/>
        <v>0</v>
      </c>
      <c r="K204" s="28">
        <f t="shared" si="76"/>
        <v>0</v>
      </c>
      <c r="L204" s="28">
        <f t="shared" si="76"/>
        <v>0</v>
      </c>
    </row>
    <row r="205" spans="1:12" x14ac:dyDescent="0.25">
      <c r="A205" s="461"/>
      <c r="B205" s="462"/>
      <c r="C205" s="463"/>
      <c r="D205" s="83" t="s">
        <v>90</v>
      </c>
      <c r="E205" s="28">
        <f t="shared" si="60"/>
        <v>0</v>
      </c>
      <c r="F205" s="28">
        <f t="shared" si="76"/>
        <v>0</v>
      </c>
      <c r="G205" s="28">
        <f t="shared" si="76"/>
        <v>0</v>
      </c>
      <c r="H205" s="28">
        <f t="shared" si="76"/>
        <v>0</v>
      </c>
      <c r="I205" s="28">
        <f t="shared" si="76"/>
        <v>0</v>
      </c>
      <c r="J205" s="28">
        <f t="shared" si="76"/>
        <v>0</v>
      </c>
      <c r="K205" s="28">
        <f t="shared" si="76"/>
        <v>0</v>
      </c>
      <c r="L205" s="28">
        <f t="shared" si="76"/>
        <v>0</v>
      </c>
    </row>
    <row r="206" spans="1:12" x14ac:dyDescent="0.25">
      <c r="A206" s="464"/>
      <c r="B206" s="465"/>
      <c r="C206" s="466"/>
      <c r="D206" s="85" t="s">
        <v>18</v>
      </c>
      <c r="E206" s="28">
        <f t="shared" si="60"/>
        <v>161801.93938544104</v>
      </c>
      <c r="F206" s="28">
        <f t="shared" si="76"/>
        <v>0</v>
      </c>
      <c r="G206" s="28">
        <f t="shared" si="76"/>
        <v>0</v>
      </c>
      <c r="H206" s="28">
        <f t="shared" si="76"/>
        <v>0</v>
      </c>
      <c r="I206" s="28">
        <f t="shared" si="76"/>
        <v>4732.1412899999996</v>
      </c>
      <c r="J206" s="28">
        <f t="shared" si="76"/>
        <v>13920.337452569991</v>
      </c>
      <c r="K206" s="28">
        <f t="shared" si="76"/>
        <v>19772.0249506728</v>
      </c>
      <c r="L206" s="28">
        <f t="shared" si="76"/>
        <v>123377.43569219825</v>
      </c>
    </row>
    <row r="207" spans="1:12" x14ac:dyDescent="0.25">
      <c r="A207" s="488" t="s">
        <v>93</v>
      </c>
      <c r="B207" s="489"/>
      <c r="C207" s="490"/>
      <c r="D207" s="85" t="s">
        <v>12</v>
      </c>
      <c r="E207" s="28">
        <f t="shared" ref="E207" si="77">SUM(F207:L207)</f>
        <v>7165491.7007850669</v>
      </c>
      <c r="F207" s="71">
        <f t="shared" ref="F207:H207" si="78">SUM(F208:F213)</f>
        <v>677622.10574000014</v>
      </c>
      <c r="G207" s="28">
        <f t="shared" si="78"/>
        <v>696859.24146000005</v>
      </c>
      <c r="H207" s="28">
        <f t="shared" si="78"/>
        <v>682112.50141999999</v>
      </c>
      <c r="I207" s="28">
        <f>SUM(I208:I213)</f>
        <v>980330.17703999998</v>
      </c>
      <c r="J207" s="28">
        <f t="shared" ref="J207:L207" si="79">SUM(J208:J213)</f>
        <v>654347.10985431005</v>
      </c>
      <c r="K207" s="28">
        <f t="shared" si="79"/>
        <v>486195.33299408236</v>
      </c>
      <c r="L207" s="28">
        <f t="shared" si="79"/>
        <v>2988025.2322766744</v>
      </c>
    </row>
    <row r="208" spans="1:12" x14ac:dyDescent="0.25">
      <c r="A208" s="491"/>
      <c r="B208" s="492"/>
      <c r="C208" s="493"/>
      <c r="D208" s="85" t="s">
        <v>13</v>
      </c>
      <c r="E208" s="28">
        <f t="shared" si="60"/>
        <v>8432.3000000000011</v>
      </c>
      <c r="F208" s="71">
        <f t="shared" ref="F208:L213" si="80">F73+F165+F201</f>
        <v>13.6</v>
      </c>
      <c r="G208" s="28">
        <f t="shared" si="80"/>
        <v>0</v>
      </c>
      <c r="H208" s="28">
        <f t="shared" si="80"/>
        <v>50.9</v>
      </c>
      <c r="I208" s="33">
        <f t="shared" si="80"/>
        <v>5082.6000000000004</v>
      </c>
      <c r="J208" s="33">
        <f t="shared" si="80"/>
        <v>3202.6</v>
      </c>
      <c r="K208" s="33">
        <f t="shared" si="80"/>
        <v>82.6</v>
      </c>
      <c r="L208" s="28">
        <f t="shared" si="80"/>
        <v>0</v>
      </c>
    </row>
    <row r="209" spans="1:13" x14ac:dyDescent="0.25">
      <c r="A209" s="491"/>
      <c r="B209" s="492"/>
      <c r="C209" s="493"/>
      <c r="D209" s="85" t="s">
        <v>14</v>
      </c>
      <c r="E209" s="28">
        <f t="shared" si="60"/>
        <v>20147.844560000001</v>
      </c>
      <c r="F209" s="71">
        <f t="shared" si="80"/>
        <v>6558.7772700000005</v>
      </c>
      <c r="G209" s="28">
        <f t="shared" si="80"/>
        <v>4891.5</v>
      </c>
      <c r="H209" s="28">
        <f t="shared" si="80"/>
        <v>872.66728999999998</v>
      </c>
      <c r="I209" s="33">
        <f t="shared" si="80"/>
        <v>903.59999999999991</v>
      </c>
      <c r="J209" s="33">
        <f t="shared" si="80"/>
        <v>5535.1</v>
      </c>
      <c r="K209" s="33">
        <f t="shared" si="80"/>
        <v>1386.2</v>
      </c>
      <c r="L209" s="28">
        <f t="shared" si="80"/>
        <v>0</v>
      </c>
    </row>
    <row r="210" spans="1:13" x14ac:dyDescent="0.25">
      <c r="A210" s="491"/>
      <c r="B210" s="492"/>
      <c r="C210" s="493"/>
      <c r="D210" s="85" t="s">
        <v>15</v>
      </c>
      <c r="E210" s="28">
        <f t="shared" si="60"/>
        <v>4701091.9994099997</v>
      </c>
      <c r="F210" s="71">
        <f t="shared" si="80"/>
        <v>671049.72847000009</v>
      </c>
      <c r="G210" s="28">
        <f t="shared" si="80"/>
        <v>691967.74146000005</v>
      </c>
      <c r="H210" s="28">
        <f t="shared" si="80"/>
        <v>681188.93412999995</v>
      </c>
      <c r="I210" s="28">
        <f t="shared" si="80"/>
        <v>424188.66347000003</v>
      </c>
      <c r="J210" s="28">
        <f t="shared" si="80"/>
        <v>294616.26835999999</v>
      </c>
      <c r="K210" s="28">
        <f t="shared" si="80"/>
        <v>276911.52335999999</v>
      </c>
      <c r="L210" s="28">
        <f t="shared" si="80"/>
        <v>1661169.14016</v>
      </c>
    </row>
    <row r="211" spans="1:13" ht="30" x14ac:dyDescent="0.25">
      <c r="A211" s="491"/>
      <c r="B211" s="492"/>
      <c r="C211" s="493"/>
      <c r="D211" s="83" t="s">
        <v>91</v>
      </c>
      <c r="E211" s="28">
        <f t="shared" si="60"/>
        <v>0</v>
      </c>
      <c r="F211" s="28">
        <f t="shared" si="80"/>
        <v>0</v>
      </c>
      <c r="G211" s="28">
        <f t="shared" si="80"/>
        <v>0</v>
      </c>
      <c r="H211" s="28">
        <f t="shared" si="80"/>
        <v>0</v>
      </c>
      <c r="I211" s="28">
        <f t="shared" si="80"/>
        <v>0</v>
      </c>
      <c r="J211" s="28">
        <f t="shared" si="80"/>
        <v>0</v>
      </c>
      <c r="K211" s="28">
        <f t="shared" si="80"/>
        <v>0</v>
      </c>
      <c r="L211" s="28">
        <f t="shared" si="80"/>
        <v>0</v>
      </c>
    </row>
    <row r="212" spans="1:13" x14ac:dyDescent="0.25">
      <c r="A212" s="491"/>
      <c r="B212" s="492"/>
      <c r="C212" s="493"/>
      <c r="D212" s="83" t="s">
        <v>90</v>
      </c>
      <c r="E212" s="28">
        <f t="shared" si="60"/>
        <v>0</v>
      </c>
      <c r="F212" s="28">
        <f t="shared" si="80"/>
        <v>0</v>
      </c>
      <c r="G212" s="28">
        <f t="shared" si="80"/>
        <v>0</v>
      </c>
      <c r="H212" s="28">
        <f t="shared" si="80"/>
        <v>0</v>
      </c>
      <c r="I212" s="28">
        <f t="shared" si="80"/>
        <v>0</v>
      </c>
      <c r="J212" s="28">
        <f t="shared" si="80"/>
        <v>0</v>
      </c>
      <c r="K212" s="28">
        <f t="shared" si="80"/>
        <v>0</v>
      </c>
      <c r="L212" s="28">
        <f t="shared" si="80"/>
        <v>0</v>
      </c>
    </row>
    <row r="213" spans="1:13" x14ac:dyDescent="0.25">
      <c r="A213" s="494"/>
      <c r="B213" s="495"/>
      <c r="C213" s="496"/>
      <c r="D213" s="85" t="s">
        <v>18</v>
      </c>
      <c r="E213" s="28">
        <f t="shared" si="60"/>
        <v>2435819.5568150664</v>
      </c>
      <c r="F213" s="28">
        <f t="shared" si="80"/>
        <v>0</v>
      </c>
      <c r="G213" s="28">
        <f t="shared" si="80"/>
        <v>0</v>
      </c>
      <c r="H213" s="28">
        <f t="shared" si="80"/>
        <v>0</v>
      </c>
      <c r="I213" s="28">
        <f t="shared" si="80"/>
        <v>550155.31357</v>
      </c>
      <c r="J213" s="28">
        <f t="shared" si="80"/>
        <v>350993.14149431</v>
      </c>
      <c r="K213" s="28">
        <f t="shared" si="80"/>
        <v>207815.00963408238</v>
      </c>
      <c r="L213" s="28">
        <f t="shared" si="80"/>
        <v>1326856.0921166742</v>
      </c>
    </row>
    <row r="214" spans="1:13" x14ac:dyDescent="0.25">
      <c r="A214" s="485" t="s">
        <v>94</v>
      </c>
      <c r="B214" s="486"/>
      <c r="C214" s="487"/>
      <c r="D214" s="85" t="s">
        <v>54</v>
      </c>
      <c r="E214" s="86" t="s">
        <v>54</v>
      </c>
      <c r="F214" s="86"/>
      <c r="G214" s="86"/>
      <c r="H214" s="86"/>
      <c r="I214" s="86" t="s">
        <v>54</v>
      </c>
      <c r="J214" s="86" t="s">
        <v>54</v>
      </c>
      <c r="K214" s="86"/>
      <c r="L214" s="86" t="s">
        <v>54</v>
      </c>
    </row>
    <row r="215" spans="1:13" s="29" customFormat="1" x14ac:dyDescent="0.25">
      <c r="A215" s="497" t="s">
        <v>95</v>
      </c>
      <c r="B215" s="498"/>
      <c r="C215" s="499"/>
      <c r="D215" s="85" t="s">
        <v>12</v>
      </c>
      <c r="E215" s="37">
        <f t="shared" si="60"/>
        <v>0</v>
      </c>
      <c r="F215" s="37">
        <f t="shared" ref="F215:L215" si="81">SUM(F216:F221)</f>
        <v>0</v>
      </c>
      <c r="G215" s="37">
        <f t="shared" si="81"/>
        <v>0</v>
      </c>
      <c r="H215" s="37">
        <f t="shared" si="81"/>
        <v>0</v>
      </c>
      <c r="I215" s="37">
        <f t="shared" si="81"/>
        <v>0</v>
      </c>
      <c r="J215" s="37">
        <f t="shared" si="81"/>
        <v>0</v>
      </c>
      <c r="K215" s="37">
        <f t="shared" si="81"/>
        <v>0</v>
      </c>
      <c r="L215" s="37">
        <f t="shared" si="81"/>
        <v>0</v>
      </c>
      <c r="M215" s="21"/>
    </row>
    <row r="216" spans="1:13" x14ac:dyDescent="0.25">
      <c r="A216" s="500"/>
      <c r="B216" s="501"/>
      <c r="C216" s="502"/>
      <c r="D216" s="85" t="s">
        <v>13</v>
      </c>
      <c r="E216" s="37">
        <f t="shared" si="60"/>
        <v>0</v>
      </c>
      <c r="F216" s="37">
        <f t="shared" ref="F216:L221" si="82">F10+F17+F31+F81+F24</f>
        <v>0</v>
      </c>
      <c r="G216" s="37">
        <f t="shared" si="82"/>
        <v>0</v>
      </c>
      <c r="H216" s="37">
        <f t="shared" si="82"/>
        <v>0</v>
      </c>
      <c r="I216" s="37">
        <f t="shared" si="82"/>
        <v>0</v>
      </c>
      <c r="J216" s="37">
        <f t="shared" si="82"/>
        <v>0</v>
      </c>
      <c r="K216" s="37">
        <f t="shared" si="82"/>
        <v>0</v>
      </c>
      <c r="L216" s="37">
        <f t="shared" si="82"/>
        <v>0</v>
      </c>
    </row>
    <row r="217" spans="1:13" x14ac:dyDescent="0.25">
      <c r="A217" s="500"/>
      <c r="B217" s="501"/>
      <c r="C217" s="502"/>
      <c r="D217" s="85" t="s">
        <v>14</v>
      </c>
      <c r="E217" s="37">
        <f t="shared" si="60"/>
        <v>0</v>
      </c>
      <c r="F217" s="37">
        <f t="shared" si="82"/>
        <v>0</v>
      </c>
      <c r="G217" s="37">
        <f t="shared" si="82"/>
        <v>0</v>
      </c>
      <c r="H217" s="37">
        <f t="shared" si="82"/>
        <v>0</v>
      </c>
      <c r="I217" s="37">
        <f t="shared" si="82"/>
        <v>0</v>
      </c>
      <c r="J217" s="37">
        <f t="shared" si="82"/>
        <v>0</v>
      </c>
      <c r="K217" s="37">
        <f t="shared" si="82"/>
        <v>0</v>
      </c>
      <c r="L217" s="37">
        <f t="shared" si="82"/>
        <v>0</v>
      </c>
    </row>
    <row r="218" spans="1:13" x14ac:dyDescent="0.25">
      <c r="A218" s="500"/>
      <c r="B218" s="501"/>
      <c r="C218" s="502"/>
      <c r="D218" s="85" t="s">
        <v>15</v>
      </c>
      <c r="E218" s="38">
        <f t="shared" si="60"/>
        <v>0</v>
      </c>
      <c r="F218" s="37">
        <f t="shared" si="82"/>
        <v>0</v>
      </c>
      <c r="G218" s="37">
        <f t="shared" si="82"/>
        <v>0</v>
      </c>
      <c r="H218" s="37">
        <f t="shared" si="82"/>
        <v>0</v>
      </c>
      <c r="I218" s="37">
        <f t="shared" si="82"/>
        <v>0</v>
      </c>
      <c r="J218" s="37">
        <f t="shared" si="82"/>
        <v>0</v>
      </c>
      <c r="K218" s="37">
        <f t="shared" si="82"/>
        <v>0</v>
      </c>
      <c r="L218" s="37">
        <f t="shared" si="82"/>
        <v>0</v>
      </c>
    </row>
    <row r="219" spans="1:13" ht="30" x14ac:dyDescent="0.25">
      <c r="A219" s="500"/>
      <c r="B219" s="501"/>
      <c r="C219" s="502"/>
      <c r="D219" s="83" t="s">
        <v>91</v>
      </c>
      <c r="E219" s="38">
        <f t="shared" si="60"/>
        <v>0</v>
      </c>
      <c r="F219" s="37">
        <f t="shared" si="82"/>
        <v>0</v>
      </c>
      <c r="G219" s="37">
        <f t="shared" si="82"/>
        <v>0</v>
      </c>
      <c r="H219" s="37">
        <f t="shared" si="82"/>
        <v>0</v>
      </c>
      <c r="I219" s="37">
        <f t="shared" si="82"/>
        <v>0</v>
      </c>
      <c r="J219" s="37">
        <f t="shared" si="82"/>
        <v>0</v>
      </c>
      <c r="K219" s="37">
        <f t="shared" si="82"/>
        <v>0</v>
      </c>
      <c r="L219" s="37">
        <f t="shared" si="82"/>
        <v>0</v>
      </c>
    </row>
    <row r="220" spans="1:13" x14ac:dyDescent="0.25">
      <c r="A220" s="500"/>
      <c r="B220" s="501"/>
      <c r="C220" s="502"/>
      <c r="D220" s="83" t="s">
        <v>90</v>
      </c>
      <c r="E220" s="38">
        <f t="shared" si="60"/>
        <v>0</v>
      </c>
      <c r="F220" s="37">
        <f t="shared" si="82"/>
        <v>0</v>
      </c>
      <c r="G220" s="37">
        <f t="shared" si="82"/>
        <v>0</v>
      </c>
      <c r="H220" s="37">
        <f t="shared" si="82"/>
        <v>0</v>
      </c>
      <c r="I220" s="37">
        <f t="shared" si="82"/>
        <v>0</v>
      </c>
      <c r="J220" s="37">
        <f t="shared" si="82"/>
        <v>0</v>
      </c>
      <c r="K220" s="37">
        <f t="shared" si="82"/>
        <v>0</v>
      </c>
      <c r="L220" s="37">
        <f t="shared" si="82"/>
        <v>0</v>
      </c>
    </row>
    <row r="221" spans="1:13" x14ac:dyDescent="0.25">
      <c r="A221" s="503"/>
      <c r="B221" s="504"/>
      <c r="C221" s="505"/>
      <c r="D221" s="85" t="s">
        <v>18</v>
      </c>
      <c r="E221" s="38">
        <f t="shared" si="60"/>
        <v>0</v>
      </c>
      <c r="F221" s="37">
        <f t="shared" si="82"/>
        <v>0</v>
      </c>
      <c r="G221" s="37">
        <f t="shared" si="82"/>
        <v>0</v>
      </c>
      <c r="H221" s="37">
        <f t="shared" si="82"/>
        <v>0</v>
      </c>
      <c r="I221" s="37">
        <f t="shared" si="82"/>
        <v>0</v>
      </c>
      <c r="J221" s="37">
        <f t="shared" si="82"/>
        <v>0</v>
      </c>
      <c r="K221" s="37">
        <f t="shared" si="82"/>
        <v>0</v>
      </c>
      <c r="L221" s="37">
        <f t="shared" si="82"/>
        <v>0</v>
      </c>
    </row>
    <row r="222" spans="1:13" s="29" customFormat="1" x14ac:dyDescent="0.25">
      <c r="A222" s="497" t="s">
        <v>96</v>
      </c>
      <c r="B222" s="498"/>
      <c r="C222" s="499"/>
      <c r="D222" s="85" t="s">
        <v>12</v>
      </c>
      <c r="E222" s="37">
        <f t="shared" si="60"/>
        <v>7165491.7007850669</v>
      </c>
      <c r="F222" s="75">
        <f t="shared" ref="F222:L222" si="83">SUM(F223:F228)</f>
        <v>677622.10574000014</v>
      </c>
      <c r="G222" s="37">
        <f t="shared" si="83"/>
        <v>696859.24146000005</v>
      </c>
      <c r="H222" s="37">
        <f t="shared" si="83"/>
        <v>682112.50141999999</v>
      </c>
      <c r="I222" s="37">
        <f t="shared" si="83"/>
        <v>980330.17703999998</v>
      </c>
      <c r="J222" s="37">
        <f t="shared" si="83"/>
        <v>654347.10985431005</v>
      </c>
      <c r="K222" s="37">
        <f t="shared" si="83"/>
        <v>486195.33299408236</v>
      </c>
      <c r="L222" s="37">
        <f t="shared" si="83"/>
        <v>2988025.2322766744</v>
      </c>
      <c r="M222" s="21"/>
    </row>
    <row r="223" spans="1:13" x14ac:dyDescent="0.25">
      <c r="A223" s="500"/>
      <c r="B223" s="501"/>
      <c r="C223" s="502"/>
      <c r="D223" s="85" t="s">
        <v>13</v>
      </c>
      <c r="E223" s="37">
        <f t="shared" si="60"/>
        <v>8432.3000000000011</v>
      </c>
      <c r="F223" s="75">
        <f>F208-F216</f>
        <v>13.6</v>
      </c>
      <c r="G223" s="37">
        <f t="shared" ref="G223:L223" si="84">G208-G216</f>
        <v>0</v>
      </c>
      <c r="H223" s="37">
        <f t="shared" si="84"/>
        <v>50.9</v>
      </c>
      <c r="I223" s="37">
        <f t="shared" si="84"/>
        <v>5082.6000000000004</v>
      </c>
      <c r="J223" s="37">
        <f t="shared" si="84"/>
        <v>3202.6</v>
      </c>
      <c r="K223" s="37">
        <f t="shared" si="84"/>
        <v>82.6</v>
      </c>
      <c r="L223" s="37">
        <f t="shared" si="84"/>
        <v>0</v>
      </c>
    </row>
    <row r="224" spans="1:13" x14ac:dyDescent="0.25">
      <c r="A224" s="500"/>
      <c r="B224" s="501"/>
      <c r="C224" s="502"/>
      <c r="D224" s="85" t="s">
        <v>14</v>
      </c>
      <c r="E224" s="37">
        <f t="shared" si="60"/>
        <v>20147.844560000001</v>
      </c>
      <c r="F224" s="75">
        <f t="shared" ref="F224:L228" si="85">F209-F217</f>
        <v>6558.7772700000005</v>
      </c>
      <c r="G224" s="37">
        <f t="shared" si="85"/>
        <v>4891.5</v>
      </c>
      <c r="H224" s="37">
        <f t="shared" si="85"/>
        <v>872.66728999999998</v>
      </c>
      <c r="I224" s="37">
        <f t="shared" si="85"/>
        <v>903.59999999999991</v>
      </c>
      <c r="J224" s="37">
        <f t="shared" si="85"/>
        <v>5535.1</v>
      </c>
      <c r="K224" s="37">
        <f t="shared" si="85"/>
        <v>1386.2</v>
      </c>
      <c r="L224" s="37">
        <f t="shared" si="85"/>
        <v>0</v>
      </c>
    </row>
    <row r="225" spans="1:12" x14ac:dyDescent="0.25">
      <c r="A225" s="500"/>
      <c r="B225" s="501"/>
      <c r="C225" s="502"/>
      <c r="D225" s="85" t="s">
        <v>15</v>
      </c>
      <c r="E225" s="37">
        <f t="shared" si="60"/>
        <v>4701091.9994099997</v>
      </c>
      <c r="F225" s="75">
        <f t="shared" si="85"/>
        <v>671049.72847000009</v>
      </c>
      <c r="G225" s="37">
        <f t="shared" si="85"/>
        <v>691967.74146000005</v>
      </c>
      <c r="H225" s="37">
        <f t="shared" si="85"/>
        <v>681188.93412999995</v>
      </c>
      <c r="I225" s="37">
        <f t="shared" si="85"/>
        <v>424188.66347000003</v>
      </c>
      <c r="J225" s="37">
        <f t="shared" si="85"/>
        <v>294616.26835999999</v>
      </c>
      <c r="K225" s="37">
        <f t="shared" si="85"/>
        <v>276911.52335999999</v>
      </c>
      <c r="L225" s="37">
        <f t="shared" si="85"/>
        <v>1661169.14016</v>
      </c>
    </row>
    <row r="226" spans="1:12" ht="30" x14ac:dyDescent="0.25">
      <c r="A226" s="500"/>
      <c r="B226" s="501"/>
      <c r="C226" s="502"/>
      <c r="D226" s="83" t="s">
        <v>91</v>
      </c>
      <c r="E226" s="37">
        <f t="shared" si="60"/>
        <v>0</v>
      </c>
      <c r="F226" s="37">
        <f t="shared" si="85"/>
        <v>0</v>
      </c>
      <c r="G226" s="37">
        <f t="shared" si="85"/>
        <v>0</v>
      </c>
      <c r="H226" s="37">
        <f t="shared" si="85"/>
        <v>0</v>
      </c>
      <c r="I226" s="37">
        <f t="shared" si="85"/>
        <v>0</v>
      </c>
      <c r="J226" s="37">
        <f t="shared" si="85"/>
        <v>0</v>
      </c>
      <c r="K226" s="37">
        <f t="shared" si="85"/>
        <v>0</v>
      </c>
      <c r="L226" s="37">
        <f t="shared" si="85"/>
        <v>0</v>
      </c>
    </row>
    <row r="227" spans="1:12" x14ac:dyDescent="0.25">
      <c r="A227" s="500"/>
      <c r="B227" s="501"/>
      <c r="C227" s="502"/>
      <c r="D227" s="83" t="s">
        <v>90</v>
      </c>
      <c r="E227" s="37">
        <f t="shared" si="60"/>
        <v>0</v>
      </c>
      <c r="F227" s="37">
        <f t="shared" si="85"/>
        <v>0</v>
      </c>
      <c r="G227" s="37">
        <f t="shared" si="85"/>
        <v>0</v>
      </c>
      <c r="H227" s="37">
        <f t="shared" si="85"/>
        <v>0</v>
      </c>
      <c r="I227" s="37">
        <f t="shared" si="85"/>
        <v>0</v>
      </c>
      <c r="J227" s="37">
        <f t="shared" si="85"/>
        <v>0</v>
      </c>
      <c r="K227" s="37">
        <f t="shared" si="85"/>
        <v>0</v>
      </c>
      <c r="L227" s="37">
        <f t="shared" si="85"/>
        <v>0</v>
      </c>
    </row>
    <row r="228" spans="1:12" x14ac:dyDescent="0.25">
      <c r="A228" s="503"/>
      <c r="B228" s="504"/>
      <c r="C228" s="505"/>
      <c r="D228" s="85" t="s">
        <v>18</v>
      </c>
      <c r="E228" s="37">
        <f t="shared" si="60"/>
        <v>2435819.5568150664</v>
      </c>
      <c r="F228" s="37">
        <f t="shared" si="85"/>
        <v>0</v>
      </c>
      <c r="G228" s="37">
        <f t="shared" si="85"/>
        <v>0</v>
      </c>
      <c r="H228" s="37">
        <f t="shared" si="85"/>
        <v>0</v>
      </c>
      <c r="I228" s="37">
        <f t="shared" si="85"/>
        <v>550155.31357</v>
      </c>
      <c r="J228" s="37">
        <f t="shared" si="85"/>
        <v>350993.14149431</v>
      </c>
      <c r="K228" s="37">
        <f t="shared" si="85"/>
        <v>207815.00963408238</v>
      </c>
      <c r="L228" s="37">
        <f t="shared" si="85"/>
        <v>1326856.0921166742</v>
      </c>
    </row>
    <row r="229" spans="1:12" x14ac:dyDescent="0.25">
      <c r="A229" s="506" t="s">
        <v>94</v>
      </c>
      <c r="B229" s="507"/>
      <c r="C229" s="508"/>
      <c r="D229" s="85" t="s">
        <v>54</v>
      </c>
      <c r="E229" s="39" t="s">
        <v>54</v>
      </c>
      <c r="F229" s="37"/>
      <c r="G229" s="37"/>
      <c r="H229" s="37"/>
      <c r="I229" s="37" t="s">
        <v>54</v>
      </c>
      <c r="J229" s="37" t="s">
        <v>54</v>
      </c>
      <c r="K229" s="37"/>
      <c r="L229" s="37" t="s">
        <v>54</v>
      </c>
    </row>
    <row r="230" spans="1:12" s="29" customFormat="1" x14ac:dyDescent="0.25">
      <c r="A230" s="497" t="s">
        <v>97</v>
      </c>
      <c r="B230" s="498"/>
      <c r="C230" s="499"/>
      <c r="D230" s="85" t="s">
        <v>12</v>
      </c>
      <c r="E230" s="37">
        <f t="shared" si="60"/>
        <v>1430108.9254600001</v>
      </c>
      <c r="F230" s="75">
        <f t="shared" ref="F230:L230" si="86">SUM(F231:F236)</f>
        <v>265344.92694999999</v>
      </c>
      <c r="G230" s="37">
        <f t="shared" si="86"/>
        <v>264161.92694999999</v>
      </c>
      <c r="H230" s="37">
        <f t="shared" si="86"/>
        <v>264161.92694999999</v>
      </c>
      <c r="I230" s="37">
        <f t="shared" si="86"/>
        <v>482915.05460999999</v>
      </c>
      <c r="J230" s="37">
        <f t="shared" si="86"/>
        <v>153525.09</v>
      </c>
      <c r="K230" s="37">
        <f t="shared" si="86"/>
        <v>0</v>
      </c>
      <c r="L230" s="37">
        <f t="shared" si="86"/>
        <v>0</v>
      </c>
    </row>
    <row r="231" spans="1:12" x14ac:dyDescent="0.25">
      <c r="A231" s="500"/>
      <c r="B231" s="501"/>
      <c r="C231" s="502"/>
      <c r="D231" s="85" t="s">
        <v>13</v>
      </c>
      <c r="E231" s="37">
        <f t="shared" si="60"/>
        <v>0</v>
      </c>
      <c r="F231" s="37">
        <f t="shared" ref="F231:L236" si="87">F52</f>
        <v>0</v>
      </c>
      <c r="G231" s="37">
        <f t="shared" si="87"/>
        <v>0</v>
      </c>
      <c r="H231" s="37">
        <f t="shared" si="87"/>
        <v>0</v>
      </c>
      <c r="I231" s="37">
        <f t="shared" si="87"/>
        <v>0</v>
      </c>
      <c r="J231" s="37">
        <f t="shared" si="87"/>
        <v>0</v>
      </c>
      <c r="K231" s="37">
        <f t="shared" si="87"/>
        <v>0</v>
      </c>
      <c r="L231" s="37">
        <f t="shared" si="87"/>
        <v>0</v>
      </c>
    </row>
    <row r="232" spans="1:12" x14ac:dyDescent="0.25">
      <c r="A232" s="500"/>
      <c r="B232" s="501"/>
      <c r="C232" s="502"/>
      <c r="D232" s="85" t="s">
        <v>14</v>
      </c>
      <c r="E232" s="37">
        <f t="shared" si="60"/>
        <v>0</v>
      </c>
      <c r="F232" s="37">
        <f t="shared" si="87"/>
        <v>0</v>
      </c>
      <c r="G232" s="37">
        <f t="shared" si="87"/>
        <v>0</v>
      </c>
      <c r="H232" s="37">
        <f t="shared" si="87"/>
        <v>0</v>
      </c>
      <c r="I232" s="37">
        <f t="shared" si="87"/>
        <v>0</v>
      </c>
      <c r="J232" s="37">
        <f t="shared" si="87"/>
        <v>0</v>
      </c>
      <c r="K232" s="37">
        <f t="shared" si="87"/>
        <v>0</v>
      </c>
      <c r="L232" s="37">
        <f t="shared" si="87"/>
        <v>0</v>
      </c>
    </row>
    <row r="233" spans="1:12" x14ac:dyDescent="0.25">
      <c r="A233" s="500"/>
      <c r="B233" s="501"/>
      <c r="C233" s="502"/>
      <c r="D233" s="85" t="s">
        <v>15</v>
      </c>
      <c r="E233" s="38">
        <f t="shared" si="60"/>
        <v>814471.90850999998</v>
      </c>
      <c r="F233" s="75">
        <f t="shared" si="87"/>
        <v>265344.92694999999</v>
      </c>
      <c r="G233" s="37">
        <f t="shared" si="87"/>
        <v>264161.92694999999</v>
      </c>
      <c r="H233" s="37">
        <f t="shared" si="87"/>
        <v>264161.92694999999</v>
      </c>
      <c r="I233" s="37">
        <f t="shared" si="87"/>
        <v>20803.127659999998</v>
      </c>
      <c r="J233" s="37">
        <f t="shared" si="87"/>
        <v>0</v>
      </c>
      <c r="K233" s="37">
        <f t="shared" si="87"/>
        <v>0</v>
      </c>
      <c r="L233" s="37">
        <f t="shared" si="87"/>
        <v>0</v>
      </c>
    </row>
    <row r="234" spans="1:12" ht="30" x14ac:dyDescent="0.25">
      <c r="A234" s="500"/>
      <c r="B234" s="501"/>
      <c r="C234" s="502"/>
      <c r="D234" s="83" t="s">
        <v>91</v>
      </c>
      <c r="E234" s="38">
        <f t="shared" si="60"/>
        <v>0</v>
      </c>
      <c r="F234" s="37">
        <f t="shared" si="87"/>
        <v>0</v>
      </c>
      <c r="G234" s="37">
        <f t="shared" si="87"/>
        <v>0</v>
      </c>
      <c r="H234" s="37">
        <f t="shared" si="87"/>
        <v>0</v>
      </c>
      <c r="I234" s="37">
        <f t="shared" si="87"/>
        <v>0</v>
      </c>
      <c r="J234" s="37">
        <f t="shared" si="87"/>
        <v>0</v>
      </c>
      <c r="K234" s="37">
        <f t="shared" si="87"/>
        <v>0</v>
      </c>
      <c r="L234" s="37">
        <f t="shared" si="87"/>
        <v>0</v>
      </c>
    </row>
    <row r="235" spans="1:12" x14ac:dyDescent="0.25">
      <c r="A235" s="500"/>
      <c r="B235" s="501"/>
      <c r="C235" s="502"/>
      <c r="D235" s="83" t="s">
        <v>90</v>
      </c>
      <c r="E235" s="38">
        <f t="shared" si="60"/>
        <v>0</v>
      </c>
      <c r="F235" s="37">
        <f t="shared" si="87"/>
        <v>0</v>
      </c>
      <c r="G235" s="37">
        <f t="shared" si="87"/>
        <v>0</v>
      </c>
      <c r="H235" s="37">
        <f t="shared" si="87"/>
        <v>0</v>
      </c>
      <c r="I235" s="37">
        <f t="shared" si="87"/>
        <v>0</v>
      </c>
      <c r="J235" s="37">
        <f t="shared" si="87"/>
        <v>0</v>
      </c>
      <c r="K235" s="37">
        <f t="shared" si="87"/>
        <v>0</v>
      </c>
      <c r="L235" s="37">
        <f t="shared" si="87"/>
        <v>0</v>
      </c>
    </row>
    <row r="236" spans="1:12" x14ac:dyDescent="0.25">
      <c r="A236" s="503"/>
      <c r="B236" s="504"/>
      <c r="C236" s="505"/>
      <c r="D236" s="85" t="s">
        <v>18</v>
      </c>
      <c r="E236" s="38">
        <f t="shared" si="60"/>
        <v>615637.01694999996</v>
      </c>
      <c r="F236" s="37">
        <f t="shared" si="87"/>
        <v>0</v>
      </c>
      <c r="G236" s="37">
        <f t="shared" si="87"/>
        <v>0</v>
      </c>
      <c r="H236" s="37">
        <f t="shared" si="87"/>
        <v>0</v>
      </c>
      <c r="I236" s="37">
        <f t="shared" si="87"/>
        <v>462111.92694999999</v>
      </c>
      <c r="J236" s="37">
        <f t="shared" si="87"/>
        <v>153525.09</v>
      </c>
      <c r="K236" s="37">
        <f t="shared" si="87"/>
        <v>0</v>
      </c>
      <c r="L236" s="37">
        <f t="shared" si="87"/>
        <v>0</v>
      </c>
    </row>
    <row r="237" spans="1:12" s="29" customFormat="1" x14ac:dyDescent="0.25">
      <c r="A237" s="497" t="s">
        <v>98</v>
      </c>
      <c r="B237" s="498"/>
      <c r="C237" s="499"/>
      <c r="D237" s="85" t="s">
        <v>12</v>
      </c>
      <c r="E237" s="37">
        <f t="shared" si="60"/>
        <v>5735382.7753250673</v>
      </c>
      <c r="F237" s="75">
        <f t="shared" ref="F237:L237" si="88">SUM(F238:F243)</f>
        <v>412277.17879000009</v>
      </c>
      <c r="G237" s="37">
        <f t="shared" si="88"/>
        <v>432697.31451000005</v>
      </c>
      <c r="H237" s="37">
        <f t="shared" si="88"/>
        <v>417950.57446999993</v>
      </c>
      <c r="I237" s="37">
        <f t="shared" si="88"/>
        <v>497415.12243000005</v>
      </c>
      <c r="J237" s="37">
        <f t="shared" si="88"/>
        <v>500822.01985430997</v>
      </c>
      <c r="K237" s="37">
        <f t="shared" si="88"/>
        <v>486195.33299408236</v>
      </c>
      <c r="L237" s="37">
        <f t="shared" si="88"/>
        <v>2988025.2322766744</v>
      </c>
    </row>
    <row r="238" spans="1:12" x14ac:dyDescent="0.25">
      <c r="A238" s="500"/>
      <c r="B238" s="501"/>
      <c r="C238" s="502"/>
      <c r="D238" s="85" t="s">
        <v>13</v>
      </c>
      <c r="E238" s="37">
        <f t="shared" si="60"/>
        <v>8432.3000000000011</v>
      </c>
      <c r="F238" s="75">
        <f>F208-F231</f>
        <v>13.6</v>
      </c>
      <c r="G238" s="37">
        <f t="shared" ref="G238:L238" si="89">G208-G231</f>
        <v>0</v>
      </c>
      <c r="H238" s="37">
        <f t="shared" si="89"/>
        <v>50.9</v>
      </c>
      <c r="I238" s="37">
        <f t="shared" si="89"/>
        <v>5082.6000000000004</v>
      </c>
      <c r="J238" s="37">
        <f t="shared" si="89"/>
        <v>3202.6</v>
      </c>
      <c r="K238" s="37">
        <f t="shared" si="89"/>
        <v>82.6</v>
      </c>
      <c r="L238" s="37">
        <f t="shared" si="89"/>
        <v>0</v>
      </c>
    </row>
    <row r="239" spans="1:12" x14ac:dyDescent="0.25">
      <c r="A239" s="500"/>
      <c r="B239" s="501"/>
      <c r="C239" s="502"/>
      <c r="D239" s="85" t="s">
        <v>14</v>
      </c>
      <c r="E239" s="37">
        <f t="shared" si="60"/>
        <v>20147.844560000001</v>
      </c>
      <c r="F239" s="75">
        <f t="shared" ref="F239:L243" si="90">F209-F232</f>
        <v>6558.7772700000005</v>
      </c>
      <c r="G239" s="37">
        <f t="shared" si="90"/>
        <v>4891.5</v>
      </c>
      <c r="H239" s="37">
        <f t="shared" si="90"/>
        <v>872.66728999999998</v>
      </c>
      <c r="I239" s="37">
        <f t="shared" si="90"/>
        <v>903.59999999999991</v>
      </c>
      <c r="J239" s="37">
        <f t="shared" si="90"/>
        <v>5535.1</v>
      </c>
      <c r="K239" s="37">
        <f t="shared" si="90"/>
        <v>1386.2</v>
      </c>
      <c r="L239" s="37">
        <f t="shared" si="90"/>
        <v>0</v>
      </c>
    </row>
    <row r="240" spans="1:12" x14ac:dyDescent="0.25">
      <c r="A240" s="500"/>
      <c r="B240" s="501"/>
      <c r="C240" s="502"/>
      <c r="D240" s="85" t="s">
        <v>15</v>
      </c>
      <c r="E240" s="37">
        <f t="shared" si="60"/>
        <v>3886620.0909000002</v>
      </c>
      <c r="F240" s="75">
        <f t="shared" si="90"/>
        <v>405704.8015200001</v>
      </c>
      <c r="G240" s="37">
        <f t="shared" si="90"/>
        <v>427805.81451000005</v>
      </c>
      <c r="H240" s="37">
        <f t="shared" si="90"/>
        <v>417027.00717999996</v>
      </c>
      <c r="I240" s="37">
        <f t="shared" si="90"/>
        <v>403385.53581000003</v>
      </c>
      <c r="J240" s="37">
        <f t="shared" si="90"/>
        <v>294616.26835999999</v>
      </c>
      <c r="K240" s="37">
        <f t="shared" si="90"/>
        <v>276911.52335999999</v>
      </c>
      <c r="L240" s="37">
        <f t="shared" si="90"/>
        <v>1661169.14016</v>
      </c>
    </row>
    <row r="241" spans="1:12" ht="30" x14ac:dyDescent="0.25">
      <c r="A241" s="500"/>
      <c r="B241" s="501"/>
      <c r="C241" s="502"/>
      <c r="D241" s="83" t="s">
        <v>91</v>
      </c>
      <c r="E241" s="37">
        <f t="shared" si="60"/>
        <v>0</v>
      </c>
      <c r="F241" s="37">
        <f t="shared" si="90"/>
        <v>0</v>
      </c>
      <c r="G241" s="37">
        <f t="shared" si="90"/>
        <v>0</v>
      </c>
      <c r="H241" s="37">
        <f t="shared" si="90"/>
        <v>0</v>
      </c>
      <c r="I241" s="37">
        <f t="shared" si="90"/>
        <v>0</v>
      </c>
      <c r="J241" s="37">
        <f t="shared" si="90"/>
        <v>0</v>
      </c>
      <c r="K241" s="37">
        <f t="shared" si="90"/>
        <v>0</v>
      </c>
      <c r="L241" s="37">
        <f t="shared" si="90"/>
        <v>0</v>
      </c>
    </row>
    <row r="242" spans="1:12" x14ac:dyDescent="0.25">
      <c r="A242" s="500"/>
      <c r="B242" s="501"/>
      <c r="C242" s="502"/>
      <c r="D242" s="83" t="s">
        <v>90</v>
      </c>
      <c r="E242" s="37">
        <f t="shared" si="60"/>
        <v>0</v>
      </c>
      <c r="F242" s="37">
        <f t="shared" si="90"/>
        <v>0</v>
      </c>
      <c r="G242" s="37">
        <f t="shared" si="90"/>
        <v>0</v>
      </c>
      <c r="H242" s="37">
        <f t="shared" si="90"/>
        <v>0</v>
      </c>
      <c r="I242" s="37">
        <f t="shared" si="90"/>
        <v>0</v>
      </c>
      <c r="J242" s="37">
        <f t="shared" si="90"/>
        <v>0</v>
      </c>
      <c r="K242" s="37">
        <f t="shared" si="90"/>
        <v>0</v>
      </c>
      <c r="L242" s="37">
        <f t="shared" si="90"/>
        <v>0</v>
      </c>
    </row>
    <row r="243" spans="1:12" x14ac:dyDescent="0.25">
      <c r="A243" s="503"/>
      <c r="B243" s="504"/>
      <c r="C243" s="505"/>
      <c r="D243" s="85" t="s">
        <v>18</v>
      </c>
      <c r="E243" s="37">
        <f t="shared" si="60"/>
        <v>1820182.5398650665</v>
      </c>
      <c r="F243" s="37">
        <f t="shared" si="90"/>
        <v>0</v>
      </c>
      <c r="G243" s="37">
        <f t="shared" si="90"/>
        <v>0</v>
      </c>
      <c r="H243" s="37">
        <f t="shared" si="90"/>
        <v>0</v>
      </c>
      <c r="I243" s="37">
        <f t="shared" si="90"/>
        <v>88043.386620000005</v>
      </c>
      <c r="J243" s="37">
        <f t="shared" si="90"/>
        <v>197468.05149431</v>
      </c>
      <c r="K243" s="37">
        <f t="shared" si="90"/>
        <v>207815.00963408238</v>
      </c>
      <c r="L243" s="37">
        <f t="shared" si="90"/>
        <v>1326856.0921166742</v>
      </c>
    </row>
    <row r="244" spans="1:12" x14ac:dyDescent="0.25">
      <c r="A244" s="509" t="s">
        <v>77</v>
      </c>
      <c r="B244" s="510"/>
      <c r="C244" s="511"/>
      <c r="D244" s="85"/>
      <c r="E244" s="40"/>
      <c r="F244" s="40"/>
      <c r="G244" s="40"/>
      <c r="H244" s="40"/>
      <c r="I244" s="40"/>
      <c r="J244" s="40"/>
      <c r="K244" s="40"/>
      <c r="L244" s="40"/>
    </row>
    <row r="245" spans="1:12" x14ac:dyDescent="0.25">
      <c r="A245" s="497" t="s">
        <v>144</v>
      </c>
      <c r="B245" s="498"/>
      <c r="C245" s="499"/>
      <c r="D245" s="85" t="s">
        <v>12</v>
      </c>
      <c r="E245" s="37">
        <f t="shared" si="60"/>
        <v>4626825.5541728335</v>
      </c>
      <c r="F245" s="75">
        <f t="shared" ref="F245:L245" si="91">SUM(F246:F251)</f>
        <v>305236.04231000011</v>
      </c>
      <c r="G245" s="37">
        <f t="shared" si="91"/>
        <v>324206.88092000014</v>
      </c>
      <c r="H245" s="37">
        <f t="shared" si="91"/>
        <v>314385.45942999987</v>
      </c>
      <c r="I245" s="37">
        <f t="shared" si="91"/>
        <v>394958.95846000005</v>
      </c>
      <c r="J245" s="37">
        <f t="shared" si="91"/>
        <v>416194.60146250995</v>
      </c>
      <c r="K245" s="37">
        <f t="shared" si="91"/>
        <v>400813.75864021038</v>
      </c>
      <c r="L245" s="37">
        <f t="shared" si="91"/>
        <v>2471029.8529501129</v>
      </c>
    </row>
    <row r="246" spans="1:12" x14ac:dyDescent="0.25">
      <c r="A246" s="500"/>
      <c r="B246" s="501"/>
      <c r="C246" s="502"/>
      <c r="D246" s="85" t="s">
        <v>13</v>
      </c>
      <c r="E246" s="37">
        <f t="shared" si="60"/>
        <v>8432.3000000000011</v>
      </c>
      <c r="F246" s="67">
        <f>F208-F253-F260-F267-F274</f>
        <v>13.6</v>
      </c>
      <c r="G246" s="68">
        <f t="shared" ref="G246:L246" si="92">G208-G253-G260-G267-G274</f>
        <v>0</v>
      </c>
      <c r="H246" s="68">
        <f t="shared" si="92"/>
        <v>50.9</v>
      </c>
      <c r="I246" s="68">
        <f t="shared" si="92"/>
        <v>5082.6000000000004</v>
      </c>
      <c r="J246" s="68">
        <f t="shared" si="92"/>
        <v>3202.6</v>
      </c>
      <c r="K246" s="68">
        <f t="shared" si="92"/>
        <v>82.6</v>
      </c>
      <c r="L246" s="68">
        <f t="shared" si="92"/>
        <v>0</v>
      </c>
    </row>
    <row r="247" spans="1:12" x14ac:dyDescent="0.25">
      <c r="A247" s="500"/>
      <c r="B247" s="501"/>
      <c r="C247" s="502"/>
      <c r="D247" s="85" t="s">
        <v>14</v>
      </c>
      <c r="E247" s="37">
        <f t="shared" si="60"/>
        <v>20147.844560000001</v>
      </c>
      <c r="F247" s="67">
        <f t="shared" ref="F247:L251" si="93">F209-F254-F261-F268-F275</f>
        <v>6558.7772700000005</v>
      </c>
      <c r="G247" s="68">
        <f t="shared" si="93"/>
        <v>4891.5</v>
      </c>
      <c r="H247" s="68">
        <f t="shared" si="93"/>
        <v>872.66728999999998</v>
      </c>
      <c r="I247" s="68">
        <f t="shared" si="93"/>
        <v>903.59999999999991</v>
      </c>
      <c r="J247" s="68">
        <f t="shared" si="93"/>
        <v>5535.1</v>
      </c>
      <c r="K247" s="68">
        <f t="shared" si="93"/>
        <v>1386.2</v>
      </c>
      <c r="L247" s="68">
        <f t="shared" si="93"/>
        <v>0</v>
      </c>
    </row>
    <row r="248" spans="1:12" x14ac:dyDescent="0.25">
      <c r="A248" s="500"/>
      <c r="B248" s="501"/>
      <c r="C248" s="502"/>
      <c r="D248" s="85" t="s">
        <v>15</v>
      </c>
      <c r="E248" s="41">
        <f t="shared" si="60"/>
        <v>2937055.56482</v>
      </c>
      <c r="F248" s="67">
        <f t="shared" si="93"/>
        <v>298663.66504000011</v>
      </c>
      <c r="G248" s="68">
        <f t="shared" si="93"/>
        <v>319315.38092000014</v>
      </c>
      <c r="H248" s="68">
        <f t="shared" si="93"/>
        <v>313461.89213999989</v>
      </c>
      <c r="I248" s="68">
        <f t="shared" si="93"/>
        <v>304892.19056000002</v>
      </c>
      <c r="J248" s="68">
        <f t="shared" si="93"/>
        <v>223056.40801999997</v>
      </c>
      <c r="K248" s="68">
        <f t="shared" si="93"/>
        <v>211138.00401999999</v>
      </c>
      <c r="L248" s="68">
        <f t="shared" si="93"/>
        <v>1266528.02412</v>
      </c>
    </row>
    <row r="249" spans="1:12" ht="30" x14ac:dyDescent="0.25">
      <c r="A249" s="500"/>
      <c r="B249" s="501"/>
      <c r="C249" s="502"/>
      <c r="D249" s="83" t="s">
        <v>91</v>
      </c>
      <c r="E249" s="37">
        <f t="shared" si="60"/>
        <v>0</v>
      </c>
      <c r="F249" s="67">
        <f t="shared" si="93"/>
        <v>0</v>
      </c>
      <c r="G249" s="68">
        <f t="shared" si="93"/>
        <v>0</v>
      </c>
      <c r="H249" s="68">
        <f t="shared" si="93"/>
        <v>0</v>
      </c>
      <c r="I249" s="68">
        <f t="shared" si="93"/>
        <v>0</v>
      </c>
      <c r="J249" s="68">
        <f t="shared" si="93"/>
        <v>0</v>
      </c>
      <c r="K249" s="68">
        <f t="shared" si="93"/>
        <v>0</v>
      </c>
      <c r="L249" s="68">
        <f t="shared" si="93"/>
        <v>0</v>
      </c>
    </row>
    <row r="250" spans="1:12" x14ac:dyDescent="0.25">
      <c r="A250" s="500"/>
      <c r="B250" s="501"/>
      <c r="C250" s="502"/>
      <c r="D250" s="83" t="s">
        <v>90</v>
      </c>
      <c r="E250" s="37">
        <f t="shared" ref="E250:E265" si="94">SUM(F250:L250)</f>
        <v>0</v>
      </c>
      <c r="F250" s="67">
        <f t="shared" si="93"/>
        <v>0</v>
      </c>
      <c r="G250" s="68">
        <f t="shared" si="93"/>
        <v>0</v>
      </c>
      <c r="H250" s="68">
        <f t="shared" si="93"/>
        <v>0</v>
      </c>
      <c r="I250" s="68">
        <f t="shared" si="93"/>
        <v>0</v>
      </c>
      <c r="J250" s="68">
        <f t="shared" si="93"/>
        <v>0</v>
      </c>
      <c r="K250" s="68">
        <f t="shared" si="93"/>
        <v>0</v>
      </c>
      <c r="L250" s="68">
        <f t="shared" si="93"/>
        <v>0</v>
      </c>
    </row>
    <row r="251" spans="1:12" x14ac:dyDescent="0.25">
      <c r="A251" s="503"/>
      <c r="B251" s="504"/>
      <c r="C251" s="505"/>
      <c r="D251" s="85" t="s">
        <v>18</v>
      </c>
      <c r="E251" s="37">
        <f t="shared" si="94"/>
        <v>1661189.8447928333</v>
      </c>
      <c r="F251" s="67">
        <f t="shared" si="93"/>
        <v>0</v>
      </c>
      <c r="G251" s="68">
        <f t="shared" si="93"/>
        <v>0</v>
      </c>
      <c r="H251" s="68">
        <f t="shared" si="93"/>
        <v>0</v>
      </c>
      <c r="I251" s="68">
        <f t="shared" si="93"/>
        <v>84080.567900000024</v>
      </c>
      <c r="J251" s="68">
        <f t="shared" si="93"/>
        <v>184400.49344250999</v>
      </c>
      <c r="K251" s="68">
        <f t="shared" si="93"/>
        <v>188206.9546202104</v>
      </c>
      <c r="L251" s="68">
        <f t="shared" si="93"/>
        <v>1204501.8288301129</v>
      </c>
    </row>
    <row r="252" spans="1:12" x14ac:dyDescent="0.25">
      <c r="A252" s="497" t="s">
        <v>179</v>
      </c>
      <c r="B252" s="498"/>
      <c r="C252" s="499"/>
      <c r="D252" s="85" t="s">
        <v>12</v>
      </c>
      <c r="E252" s="37">
        <f t="shared" si="94"/>
        <v>1076566.9775222333</v>
      </c>
      <c r="F252" s="69">
        <f t="shared" ref="F252:L252" si="95">SUM(F253:F258)</f>
        <v>105349.21219000001</v>
      </c>
      <c r="G252" s="69">
        <f t="shared" si="95"/>
        <v>105316.36663</v>
      </c>
      <c r="H252" s="69">
        <f t="shared" si="95"/>
        <v>101120.66266</v>
      </c>
      <c r="I252" s="69">
        <f t="shared" si="95"/>
        <v>99713.963969999997</v>
      </c>
      <c r="J252" s="69">
        <f t="shared" si="95"/>
        <v>81885.218391799994</v>
      </c>
      <c r="K252" s="69">
        <f t="shared" si="95"/>
        <v>82639.374353872001</v>
      </c>
      <c r="L252" s="69">
        <f t="shared" si="95"/>
        <v>500542.17932656128</v>
      </c>
    </row>
    <row r="253" spans="1:12" x14ac:dyDescent="0.25">
      <c r="A253" s="500"/>
      <c r="B253" s="501"/>
      <c r="C253" s="502"/>
      <c r="D253" s="85" t="s">
        <v>13</v>
      </c>
      <c r="E253" s="37">
        <f t="shared" si="94"/>
        <v>0</v>
      </c>
      <c r="F253" s="67">
        <v>0</v>
      </c>
      <c r="G253" s="67">
        <v>0</v>
      </c>
      <c r="H253" s="67">
        <f>H187+H151+H116</f>
        <v>0</v>
      </c>
      <c r="I253" s="67">
        <f t="shared" ref="I253:L253" si="96">I187+I151+I116</f>
        <v>0</v>
      </c>
      <c r="J253" s="67">
        <f t="shared" si="96"/>
        <v>0</v>
      </c>
      <c r="K253" s="67">
        <f t="shared" si="96"/>
        <v>0</v>
      </c>
      <c r="L253" s="67">
        <f t="shared" si="96"/>
        <v>0</v>
      </c>
    </row>
    <row r="254" spans="1:12" x14ac:dyDescent="0.25">
      <c r="A254" s="500"/>
      <c r="B254" s="501"/>
      <c r="C254" s="502"/>
      <c r="D254" s="85" t="s">
        <v>14</v>
      </c>
      <c r="E254" s="37">
        <f t="shared" si="94"/>
        <v>0</v>
      </c>
      <c r="F254" s="67">
        <v>0</v>
      </c>
      <c r="G254" s="67">
        <v>0</v>
      </c>
      <c r="H254" s="67">
        <f t="shared" ref="H254:L258" si="97">H188+H152+H117</f>
        <v>0</v>
      </c>
      <c r="I254" s="67">
        <f t="shared" si="97"/>
        <v>0</v>
      </c>
      <c r="J254" s="67">
        <f t="shared" si="97"/>
        <v>0</v>
      </c>
      <c r="K254" s="67">
        <f t="shared" si="97"/>
        <v>0</v>
      </c>
      <c r="L254" s="67">
        <f t="shared" si="97"/>
        <v>0</v>
      </c>
    </row>
    <row r="255" spans="1:12" x14ac:dyDescent="0.25">
      <c r="A255" s="500"/>
      <c r="B255" s="501"/>
      <c r="C255" s="502"/>
      <c r="D255" s="85" t="s">
        <v>15</v>
      </c>
      <c r="E255" s="41">
        <f t="shared" si="94"/>
        <v>917574.28245000006</v>
      </c>
      <c r="F255" s="70">
        <v>105349.21219000001</v>
      </c>
      <c r="G255" s="70">
        <v>105316.36663</v>
      </c>
      <c r="H255" s="67">
        <f>H189+H153+H111</f>
        <v>101120.66266</v>
      </c>
      <c r="I255" s="67">
        <f t="shared" ref="I255:L255" si="98">I189+I153+I111</f>
        <v>95751.145250000001</v>
      </c>
      <c r="J255" s="67">
        <f t="shared" si="98"/>
        <v>68817.660340000002</v>
      </c>
      <c r="K255" s="67">
        <f t="shared" si="98"/>
        <v>63031.319340000002</v>
      </c>
      <c r="L255" s="67">
        <f t="shared" si="98"/>
        <v>378187.91604000004</v>
      </c>
    </row>
    <row r="256" spans="1:12" ht="30" x14ac:dyDescent="0.25">
      <c r="A256" s="500"/>
      <c r="B256" s="501"/>
      <c r="C256" s="502"/>
      <c r="D256" s="83" t="s">
        <v>91</v>
      </c>
      <c r="E256" s="37">
        <f t="shared" si="94"/>
        <v>0</v>
      </c>
      <c r="F256" s="67">
        <v>0</v>
      </c>
      <c r="G256" s="67">
        <v>0</v>
      </c>
      <c r="H256" s="67">
        <f t="shared" si="97"/>
        <v>0</v>
      </c>
      <c r="I256" s="67">
        <f t="shared" si="97"/>
        <v>0</v>
      </c>
      <c r="J256" s="67">
        <f t="shared" si="97"/>
        <v>0</v>
      </c>
      <c r="K256" s="67">
        <f t="shared" si="97"/>
        <v>0</v>
      </c>
      <c r="L256" s="67">
        <f t="shared" si="97"/>
        <v>0</v>
      </c>
    </row>
    <row r="257" spans="1:12" x14ac:dyDescent="0.25">
      <c r="A257" s="500"/>
      <c r="B257" s="501"/>
      <c r="C257" s="502"/>
      <c r="D257" s="83" t="s">
        <v>90</v>
      </c>
      <c r="E257" s="37">
        <f t="shared" si="94"/>
        <v>0</v>
      </c>
      <c r="F257" s="67">
        <v>0</v>
      </c>
      <c r="G257" s="67">
        <v>0</v>
      </c>
      <c r="H257" s="67">
        <f t="shared" si="97"/>
        <v>0</v>
      </c>
      <c r="I257" s="67">
        <f t="shared" si="97"/>
        <v>0</v>
      </c>
      <c r="J257" s="67">
        <f t="shared" si="97"/>
        <v>0</v>
      </c>
      <c r="K257" s="67">
        <f t="shared" si="97"/>
        <v>0</v>
      </c>
      <c r="L257" s="67">
        <f t="shared" si="97"/>
        <v>0</v>
      </c>
    </row>
    <row r="258" spans="1:12" x14ac:dyDescent="0.25">
      <c r="A258" s="503"/>
      <c r="B258" s="504"/>
      <c r="C258" s="505"/>
      <c r="D258" s="85" t="s">
        <v>18</v>
      </c>
      <c r="E258" s="37">
        <f t="shared" si="94"/>
        <v>158992.69507223327</v>
      </c>
      <c r="F258" s="67">
        <v>0</v>
      </c>
      <c r="G258" s="67">
        <v>0</v>
      </c>
      <c r="H258" s="67">
        <f>H192+H156+H121</f>
        <v>0</v>
      </c>
      <c r="I258" s="67">
        <f t="shared" si="97"/>
        <v>3962.8187200000002</v>
      </c>
      <c r="J258" s="67">
        <f t="shared" si="97"/>
        <v>13067.558051799992</v>
      </c>
      <c r="K258" s="67">
        <f t="shared" si="97"/>
        <v>19608.055013871999</v>
      </c>
      <c r="L258" s="67">
        <f t="shared" si="97"/>
        <v>122354.26328656127</v>
      </c>
    </row>
    <row r="259" spans="1:12" x14ac:dyDescent="0.25">
      <c r="A259" s="497" t="s">
        <v>178</v>
      </c>
      <c r="B259" s="498"/>
      <c r="C259" s="499"/>
      <c r="D259" s="85" t="s">
        <v>12</v>
      </c>
      <c r="E259" s="37">
        <f t="shared" si="94"/>
        <v>1430108.9254600001</v>
      </c>
      <c r="F259" s="75">
        <f t="shared" ref="F259:L259" si="99">SUM(F260:F265)</f>
        <v>265344.92694999999</v>
      </c>
      <c r="G259" s="37">
        <f t="shared" si="99"/>
        <v>264161.92694999999</v>
      </c>
      <c r="H259" s="37">
        <f t="shared" si="99"/>
        <v>264161.92694999999</v>
      </c>
      <c r="I259" s="37">
        <f t="shared" si="99"/>
        <v>482915.05460999999</v>
      </c>
      <c r="J259" s="37">
        <f t="shared" si="99"/>
        <v>153525.09</v>
      </c>
      <c r="K259" s="37">
        <f t="shared" si="99"/>
        <v>0</v>
      </c>
      <c r="L259" s="37">
        <f t="shared" si="99"/>
        <v>0</v>
      </c>
    </row>
    <row r="260" spans="1:12" x14ac:dyDescent="0.25">
      <c r="A260" s="500"/>
      <c r="B260" s="501"/>
      <c r="C260" s="502"/>
      <c r="D260" s="85" t="s">
        <v>13</v>
      </c>
      <c r="E260" s="37">
        <f t="shared" si="94"/>
        <v>0</v>
      </c>
      <c r="F260" s="39">
        <f t="shared" ref="F260:L265" si="100">F52</f>
        <v>0</v>
      </c>
      <c r="G260" s="39">
        <f t="shared" si="100"/>
        <v>0</v>
      </c>
      <c r="H260" s="39">
        <f t="shared" si="100"/>
        <v>0</v>
      </c>
      <c r="I260" s="39">
        <f t="shared" si="100"/>
        <v>0</v>
      </c>
      <c r="J260" s="39">
        <f t="shared" si="100"/>
        <v>0</v>
      </c>
      <c r="K260" s="39">
        <f t="shared" si="100"/>
        <v>0</v>
      </c>
      <c r="L260" s="39">
        <f t="shared" si="100"/>
        <v>0</v>
      </c>
    </row>
    <row r="261" spans="1:12" x14ac:dyDescent="0.25">
      <c r="A261" s="500"/>
      <c r="B261" s="501"/>
      <c r="C261" s="502"/>
      <c r="D261" s="85" t="s">
        <v>14</v>
      </c>
      <c r="E261" s="37">
        <f t="shared" si="94"/>
        <v>0</v>
      </c>
      <c r="F261" s="39">
        <f t="shared" si="100"/>
        <v>0</v>
      </c>
      <c r="G261" s="39">
        <f t="shared" si="100"/>
        <v>0</v>
      </c>
      <c r="H261" s="39">
        <f t="shared" si="100"/>
        <v>0</v>
      </c>
      <c r="I261" s="39">
        <f t="shared" si="100"/>
        <v>0</v>
      </c>
      <c r="J261" s="39">
        <f t="shared" si="100"/>
        <v>0</v>
      </c>
      <c r="K261" s="39">
        <f t="shared" si="100"/>
        <v>0</v>
      </c>
      <c r="L261" s="39">
        <f t="shared" si="100"/>
        <v>0</v>
      </c>
    </row>
    <row r="262" spans="1:12" x14ac:dyDescent="0.25">
      <c r="A262" s="500"/>
      <c r="B262" s="501"/>
      <c r="C262" s="502"/>
      <c r="D262" s="85" t="s">
        <v>15</v>
      </c>
      <c r="E262" s="41">
        <f t="shared" si="94"/>
        <v>814471.90850999998</v>
      </c>
      <c r="F262" s="76">
        <f t="shared" si="100"/>
        <v>265344.92694999999</v>
      </c>
      <c r="G262" s="39">
        <f t="shared" si="100"/>
        <v>264161.92694999999</v>
      </c>
      <c r="H262" s="39">
        <f t="shared" si="100"/>
        <v>264161.92694999999</v>
      </c>
      <c r="I262" s="39">
        <f t="shared" si="100"/>
        <v>20803.127659999998</v>
      </c>
      <c r="J262" s="39">
        <f t="shared" si="100"/>
        <v>0</v>
      </c>
      <c r="K262" s="39">
        <f t="shared" si="100"/>
        <v>0</v>
      </c>
      <c r="L262" s="39">
        <f t="shared" si="100"/>
        <v>0</v>
      </c>
    </row>
    <row r="263" spans="1:12" ht="30" x14ac:dyDescent="0.25">
      <c r="A263" s="500"/>
      <c r="B263" s="501"/>
      <c r="C263" s="502"/>
      <c r="D263" s="83" t="s">
        <v>91</v>
      </c>
      <c r="E263" s="37">
        <f t="shared" si="94"/>
        <v>0</v>
      </c>
      <c r="F263" s="39">
        <f t="shared" si="100"/>
        <v>0</v>
      </c>
      <c r="G263" s="39">
        <f t="shared" si="100"/>
        <v>0</v>
      </c>
      <c r="H263" s="39">
        <f t="shared" si="100"/>
        <v>0</v>
      </c>
      <c r="I263" s="39">
        <f t="shared" si="100"/>
        <v>0</v>
      </c>
      <c r="J263" s="39">
        <f t="shared" si="100"/>
        <v>0</v>
      </c>
      <c r="K263" s="39">
        <f t="shared" si="100"/>
        <v>0</v>
      </c>
      <c r="L263" s="39">
        <f t="shared" si="100"/>
        <v>0</v>
      </c>
    </row>
    <row r="264" spans="1:12" x14ac:dyDescent="0.25">
      <c r="A264" s="500"/>
      <c r="B264" s="501"/>
      <c r="C264" s="502"/>
      <c r="D264" s="83" t="s">
        <v>99</v>
      </c>
      <c r="E264" s="37">
        <f t="shared" si="94"/>
        <v>0</v>
      </c>
      <c r="F264" s="39">
        <f t="shared" si="100"/>
        <v>0</v>
      </c>
      <c r="G264" s="39">
        <f t="shared" si="100"/>
        <v>0</v>
      </c>
      <c r="H264" s="39">
        <f t="shared" si="100"/>
        <v>0</v>
      </c>
      <c r="I264" s="39">
        <f t="shared" si="100"/>
        <v>0</v>
      </c>
      <c r="J264" s="39">
        <f t="shared" si="100"/>
        <v>0</v>
      </c>
      <c r="K264" s="39">
        <f t="shared" si="100"/>
        <v>0</v>
      </c>
      <c r="L264" s="39">
        <f t="shared" si="100"/>
        <v>0</v>
      </c>
    </row>
    <row r="265" spans="1:12" x14ac:dyDescent="0.25">
      <c r="A265" s="503"/>
      <c r="B265" s="504"/>
      <c r="C265" s="505"/>
      <c r="D265" s="40" t="s">
        <v>18</v>
      </c>
      <c r="E265" s="37">
        <f t="shared" si="94"/>
        <v>615637.01694999996</v>
      </c>
      <c r="F265" s="39">
        <f t="shared" si="100"/>
        <v>0</v>
      </c>
      <c r="G265" s="39">
        <f t="shared" si="100"/>
        <v>0</v>
      </c>
      <c r="H265" s="39">
        <f t="shared" si="100"/>
        <v>0</v>
      </c>
      <c r="I265" s="39">
        <f t="shared" si="100"/>
        <v>462111.92694999999</v>
      </c>
      <c r="J265" s="39">
        <f t="shared" si="100"/>
        <v>153525.09</v>
      </c>
      <c r="K265" s="39">
        <f t="shared" si="100"/>
        <v>0</v>
      </c>
      <c r="L265" s="39">
        <f t="shared" si="100"/>
        <v>0</v>
      </c>
    </row>
    <row r="266" spans="1:12" x14ac:dyDescent="0.25">
      <c r="A266" s="497" t="s">
        <v>177</v>
      </c>
      <c r="B266" s="498"/>
      <c r="C266" s="499"/>
      <c r="D266" s="85" t="s">
        <v>12</v>
      </c>
      <c r="E266" s="37">
        <f t="shared" ref="E266:E279" si="101">SUM(F266:L266)</f>
        <v>29238.943629999998</v>
      </c>
      <c r="F266" s="75">
        <f t="shared" ref="F266:L266" si="102">SUM(F267:F272)</f>
        <v>1691.9242900000002</v>
      </c>
      <c r="G266" s="37">
        <f t="shared" si="102"/>
        <v>1872.46696</v>
      </c>
      <c r="H266" s="37">
        <f t="shared" si="102"/>
        <v>994.7523799999999</v>
      </c>
      <c r="I266" s="37">
        <f t="shared" si="102"/>
        <v>2742.2</v>
      </c>
      <c r="J266" s="37">
        <f t="shared" si="102"/>
        <v>2742.2</v>
      </c>
      <c r="K266" s="37">
        <f t="shared" si="102"/>
        <v>2742.2</v>
      </c>
      <c r="L266" s="37">
        <f t="shared" si="102"/>
        <v>16453.199999999997</v>
      </c>
    </row>
    <row r="267" spans="1:12" x14ac:dyDescent="0.25">
      <c r="A267" s="500"/>
      <c r="B267" s="501"/>
      <c r="C267" s="502"/>
      <c r="D267" s="85" t="s">
        <v>13</v>
      </c>
      <c r="E267" s="37">
        <f t="shared" si="101"/>
        <v>0</v>
      </c>
      <c r="F267" s="39">
        <f>F116</f>
        <v>0</v>
      </c>
      <c r="G267" s="39">
        <f t="shared" ref="G267:L267" si="103">G116</f>
        <v>0</v>
      </c>
      <c r="H267" s="39">
        <f t="shared" si="103"/>
        <v>0</v>
      </c>
      <c r="I267" s="39">
        <f t="shared" si="103"/>
        <v>0</v>
      </c>
      <c r="J267" s="39">
        <f t="shared" si="103"/>
        <v>0</v>
      </c>
      <c r="K267" s="39">
        <f t="shared" si="103"/>
        <v>0</v>
      </c>
      <c r="L267" s="39">
        <f t="shared" si="103"/>
        <v>0</v>
      </c>
    </row>
    <row r="268" spans="1:12" x14ac:dyDescent="0.25">
      <c r="A268" s="500"/>
      <c r="B268" s="501"/>
      <c r="C268" s="502"/>
      <c r="D268" s="85" t="s">
        <v>14</v>
      </c>
      <c r="E268" s="37">
        <f t="shared" si="101"/>
        <v>0</v>
      </c>
      <c r="F268" s="39">
        <f t="shared" ref="F268:L272" si="104">F117</f>
        <v>0</v>
      </c>
      <c r="G268" s="39">
        <f t="shared" si="104"/>
        <v>0</v>
      </c>
      <c r="H268" s="39">
        <f t="shared" si="104"/>
        <v>0</v>
      </c>
      <c r="I268" s="39">
        <f t="shared" si="104"/>
        <v>0</v>
      </c>
      <c r="J268" s="39">
        <f t="shared" si="104"/>
        <v>0</v>
      </c>
      <c r="K268" s="39">
        <f t="shared" si="104"/>
        <v>0</v>
      </c>
      <c r="L268" s="39">
        <f t="shared" si="104"/>
        <v>0</v>
      </c>
    </row>
    <row r="269" spans="1:12" x14ac:dyDescent="0.25">
      <c r="A269" s="500"/>
      <c r="B269" s="501"/>
      <c r="C269" s="502"/>
      <c r="D269" s="85" t="s">
        <v>15</v>
      </c>
      <c r="E269" s="41">
        <f t="shared" si="101"/>
        <v>29238.943629999998</v>
      </c>
      <c r="F269" s="76">
        <f t="shared" si="104"/>
        <v>1691.9242900000002</v>
      </c>
      <c r="G269" s="39">
        <f t="shared" si="104"/>
        <v>1872.46696</v>
      </c>
      <c r="H269" s="39">
        <f t="shared" si="104"/>
        <v>994.7523799999999</v>
      </c>
      <c r="I269" s="39">
        <f t="shared" si="104"/>
        <v>2742.2</v>
      </c>
      <c r="J269" s="39">
        <f t="shared" si="104"/>
        <v>2742.2</v>
      </c>
      <c r="K269" s="39">
        <f t="shared" si="104"/>
        <v>2742.2</v>
      </c>
      <c r="L269" s="39">
        <f t="shared" si="104"/>
        <v>16453.199999999997</v>
      </c>
    </row>
    <row r="270" spans="1:12" ht="30" x14ac:dyDescent="0.25">
      <c r="A270" s="500"/>
      <c r="B270" s="501"/>
      <c r="C270" s="502"/>
      <c r="D270" s="83" t="s">
        <v>91</v>
      </c>
      <c r="E270" s="37">
        <f t="shared" si="101"/>
        <v>0</v>
      </c>
      <c r="F270" s="39">
        <f t="shared" si="104"/>
        <v>0</v>
      </c>
      <c r="G270" s="39">
        <f t="shared" si="104"/>
        <v>0</v>
      </c>
      <c r="H270" s="39">
        <f t="shared" si="104"/>
        <v>0</v>
      </c>
      <c r="I270" s="39">
        <f t="shared" si="104"/>
        <v>0</v>
      </c>
      <c r="J270" s="39">
        <f t="shared" si="104"/>
        <v>0</v>
      </c>
      <c r="K270" s="39">
        <f t="shared" si="104"/>
        <v>0</v>
      </c>
      <c r="L270" s="39">
        <f t="shared" si="104"/>
        <v>0</v>
      </c>
    </row>
    <row r="271" spans="1:12" x14ac:dyDescent="0.25">
      <c r="A271" s="500"/>
      <c r="B271" s="501"/>
      <c r="C271" s="502"/>
      <c r="D271" s="83" t="s">
        <v>99</v>
      </c>
      <c r="E271" s="37">
        <f t="shared" si="101"/>
        <v>0</v>
      </c>
      <c r="F271" s="39">
        <f t="shared" si="104"/>
        <v>0</v>
      </c>
      <c r="G271" s="39">
        <f t="shared" si="104"/>
        <v>0</v>
      </c>
      <c r="H271" s="39">
        <f t="shared" si="104"/>
        <v>0</v>
      </c>
      <c r="I271" s="39">
        <f t="shared" si="104"/>
        <v>0</v>
      </c>
      <c r="J271" s="39">
        <f t="shared" si="104"/>
        <v>0</v>
      </c>
      <c r="K271" s="39">
        <f t="shared" si="104"/>
        <v>0</v>
      </c>
      <c r="L271" s="39">
        <f t="shared" si="104"/>
        <v>0</v>
      </c>
    </row>
    <row r="272" spans="1:12" x14ac:dyDescent="0.25">
      <c r="A272" s="503"/>
      <c r="B272" s="504"/>
      <c r="C272" s="505"/>
      <c r="D272" s="40" t="s">
        <v>18</v>
      </c>
      <c r="E272" s="37">
        <f t="shared" si="101"/>
        <v>0</v>
      </c>
      <c r="F272" s="39">
        <f t="shared" si="104"/>
        <v>0</v>
      </c>
      <c r="G272" s="39">
        <f t="shared" si="104"/>
        <v>0</v>
      </c>
      <c r="H272" s="39">
        <f t="shared" si="104"/>
        <v>0</v>
      </c>
      <c r="I272" s="39">
        <f t="shared" si="104"/>
        <v>0</v>
      </c>
      <c r="J272" s="39">
        <f t="shared" si="104"/>
        <v>0</v>
      </c>
      <c r="K272" s="39">
        <f t="shared" si="104"/>
        <v>0</v>
      </c>
      <c r="L272" s="39">
        <f t="shared" si="104"/>
        <v>0</v>
      </c>
    </row>
    <row r="273" spans="1:12" x14ac:dyDescent="0.25">
      <c r="A273" s="497" t="s">
        <v>145</v>
      </c>
      <c r="B273" s="498"/>
      <c r="C273" s="499"/>
      <c r="D273" s="85" t="s">
        <v>12</v>
      </c>
      <c r="E273" s="42">
        <f t="shared" si="101"/>
        <v>2751.3</v>
      </c>
      <c r="F273" s="42">
        <f t="shared" ref="F273:L273" si="105">SUM(F274:F279)</f>
        <v>0</v>
      </c>
      <c r="G273" s="42">
        <f t="shared" si="105"/>
        <v>1301.5999999999999</v>
      </c>
      <c r="H273" s="42">
        <f t="shared" si="105"/>
        <v>1449.7</v>
      </c>
      <c r="I273" s="42">
        <f t="shared" si="105"/>
        <v>0</v>
      </c>
      <c r="J273" s="42">
        <f t="shared" si="105"/>
        <v>0</v>
      </c>
      <c r="K273" s="42">
        <f t="shared" si="105"/>
        <v>0</v>
      </c>
      <c r="L273" s="42">
        <f t="shared" si="105"/>
        <v>0</v>
      </c>
    </row>
    <row r="274" spans="1:12" x14ac:dyDescent="0.25">
      <c r="A274" s="500"/>
      <c r="B274" s="501"/>
      <c r="C274" s="502"/>
      <c r="D274" s="85" t="s">
        <v>13</v>
      </c>
      <c r="E274" s="37">
        <f t="shared" si="101"/>
        <v>0</v>
      </c>
      <c r="F274" s="39">
        <f>F123</f>
        <v>0</v>
      </c>
      <c r="G274" s="39">
        <f t="shared" ref="G274:L279" si="106">G123</f>
        <v>0</v>
      </c>
      <c r="H274" s="39">
        <f t="shared" si="106"/>
        <v>0</v>
      </c>
      <c r="I274" s="39">
        <f t="shared" si="106"/>
        <v>0</v>
      </c>
      <c r="J274" s="39">
        <f t="shared" si="106"/>
        <v>0</v>
      </c>
      <c r="K274" s="39">
        <f t="shared" si="106"/>
        <v>0</v>
      </c>
      <c r="L274" s="39">
        <f t="shared" si="106"/>
        <v>0</v>
      </c>
    </row>
    <row r="275" spans="1:12" x14ac:dyDescent="0.25">
      <c r="A275" s="500"/>
      <c r="B275" s="501"/>
      <c r="C275" s="502"/>
      <c r="D275" s="85" t="s">
        <v>14</v>
      </c>
      <c r="E275" s="37">
        <f t="shared" si="101"/>
        <v>0</v>
      </c>
      <c r="F275" s="39">
        <f t="shared" ref="F275:F279" si="107">F124</f>
        <v>0</v>
      </c>
      <c r="G275" s="39">
        <f t="shared" si="106"/>
        <v>0</v>
      </c>
      <c r="H275" s="39">
        <f t="shared" si="106"/>
        <v>0</v>
      </c>
      <c r="I275" s="39">
        <f t="shared" si="106"/>
        <v>0</v>
      </c>
      <c r="J275" s="39">
        <f t="shared" si="106"/>
        <v>0</v>
      </c>
      <c r="K275" s="39">
        <f t="shared" si="106"/>
        <v>0</v>
      </c>
      <c r="L275" s="39">
        <f t="shared" si="106"/>
        <v>0</v>
      </c>
    </row>
    <row r="276" spans="1:12" x14ac:dyDescent="0.25">
      <c r="A276" s="500"/>
      <c r="B276" s="501"/>
      <c r="C276" s="502"/>
      <c r="D276" s="85" t="s">
        <v>15</v>
      </c>
      <c r="E276" s="41">
        <f t="shared" si="101"/>
        <v>2751.3</v>
      </c>
      <c r="F276" s="39">
        <f t="shared" si="107"/>
        <v>0</v>
      </c>
      <c r="G276" s="39">
        <f t="shared" si="106"/>
        <v>1301.5999999999999</v>
      </c>
      <c r="H276" s="39">
        <f t="shared" si="106"/>
        <v>1449.7</v>
      </c>
      <c r="I276" s="39">
        <f t="shared" si="106"/>
        <v>0</v>
      </c>
      <c r="J276" s="39">
        <f t="shared" si="106"/>
        <v>0</v>
      </c>
      <c r="K276" s="39">
        <f t="shared" si="106"/>
        <v>0</v>
      </c>
      <c r="L276" s="39">
        <f t="shared" si="106"/>
        <v>0</v>
      </c>
    </row>
    <row r="277" spans="1:12" ht="30" x14ac:dyDescent="0.25">
      <c r="A277" s="500"/>
      <c r="B277" s="501"/>
      <c r="C277" s="502"/>
      <c r="D277" s="83" t="s">
        <v>91</v>
      </c>
      <c r="E277" s="37">
        <f t="shared" si="101"/>
        <v>0</v>
      </c>
      <c r="F277" s="39">
        <f t="shared" si="107"/>
        <v>0</v>
      </c>
      <c r="G277" s="39">
        <f t="shared" si="106"/>
        <v>0</v>
      </c>
      <c r="H277" s="39">
        <f t="shared" si="106"/>
        <v>0</v>
      </c>
      <c r="I277" s="39">
        <f t="shared" si="106"/>
        <v>0</v>
      </c>
      <c r="J277" s="39">
        <f t="shared" si="106"/>
        <v>0</v>
      </c>
      <c r="K277" s="39">
        <f t="shared" si="106"/>
        <v>0</v>
      </c>
      <c r="L277" s="39">
        <f t="shared" si="106"/>
        <v>0</v>
      </c>
    </row>
    <row r="278" spans="1:12" x14ac:dyDescent="0.25">
      <c r="A278" s="500"/>
      <c r="B278" s="501"/>
      <c r="C278" s="502"/>
      <c r="D278" s="83" t="s">
        <v>99</v>
      </c>
      <c r="E278" s="37">
        <f t="shared" si="101"/>
        <v>0</v>
      </c>
      <c r="F278" s="39">
        <f t="shared" si="107"/>
        <v>0</v>
      </c>
      <c r="G278" s="39">
        <f t="shared" si="106"/>
        <v>0</v>
      </c>
      <c r="H278" s="39">
        <f t="shared" si="106"/>
        <v>0</v>
      </c>
      <c r="I278" s="39">
        <f t="shared" si="106"/>
        <v>0</v>
      </c>
      <c r="J278" s="39">
        <f t="shared" si="106"/>
        <v>0</v>
      </c>
      <c r="K278" s="39">
        <f t="shared" si="106"/>
        <v>0</v>
      </c>
      <c r="L278" s="39">
        <f t="shared" si="106"/>
        <v>0</v>
      </c>
    </row>
    <row r="279" spans="1:12" x14ac:dyDescent="0.25">
      <c r="A279" s="503"/>
      <c r="B279" s="504"/>
      <c r="C279" s="505"/>
      <c r="D279" s="40" t="s">
        <v>18</v>
      </c>
      <c r="E279" s="37">
        <f t="shared" si="101"/>
        <v>0</v>
      </c>
      <c r="F279" s="39">
        <f t="shared" si="107"/>
        <v>0</v>
      </c>
      <c r="G279" s="39">
        <f t="shared" si="106"/>
        <v>0</v>
      </c>
      <c r="H279" s="39">
        <f t="shared" si="106"/>
        <v>0</v>
      </c>
      <c r="I279" s="39">
        <f t="shared" si="106"/>
        <v>0</v>
      </c>
      <c r="J279" s="39">
        <f t="shared" si="106"/>
        <v>0</v>
      </c>
      <c r="K279" s="39">
        <f t="shared" si="106"/>
        <v>0</v>
      </c>
      <c r="L279" s="39">
        <f t="shared" si="106"/>
        <v>0</v>
      </c>
    </row>
    <row r="280" spans="1:12" x14ac:dyDescent="0.25">
      <c r="A280" s="43"/>
      <c r="B280" s="44"/>
      <c r="C280" s="45"/>
      <c r="D280" s="45"/>
      <c r="E280" s="45"/>
      <c r="F280" s="45"/>
      <c r="G280" s="45"/>
      <c r="H280" s="45"/>
      <c r="I280" s="45"/>
      <c r="J280" s="45"/>
      <c r="K280" s="45"/>
      <c r="L280" s="45"/>
    </row>
    <row r="281" spans="1:12" x14ac:dyDescent="0.25">
      <c r="A281" s="418" t="s">
        <v>100</v>
      </c>
      <c r="B281" s="418"/>
      <c r="C281" s="418"/>
      <c r="D281" s="418"/>
      <c r="E281" s="418"/>
      <c r="F281" s="418"/>
      <c r="G281" s="418"/>
      <c r="H281" s="418"/>
      <c r="I281" s="418"/>
      <c r="J281" s="418"/>
      <c r="K281" s="418"/>
      <c r="L281" s="418"/>
    </row>
    <row r="282" spans="1:12" x14ac:dyDescent="0.25">
      <c r="A282" s="418" t="s">
        <v>101</v>
      </c>
      <c r="B282" s="418"/>
      <c r="C282" s="418"/>
      <c r="D282" s="418"/>
      <c r="E282" s="418"/>
      <c r="F282" s="418"/>
      <c r="G282" s="418"/>
      <c r="H282" s="418"/>
      <c r="I282" s="418"/>
      <c r="J282" s="418"/>
      <c r="K282" s="418"/>
      <c r="L282" s="418"/>
    </row>
    <row r="283" spans="1:12" x14ac:dyDescent="0.25">
      <c r="A283" s="418" t="s">
        <v>104</v>
      </c>
      <c r="B283" s="418"/>
      <c r="C283" s="418"/>
      <c r="D283" s="418"/>
      <c r="E283" s="418"/>
      <c r="F283" s="418"/>
      <c r="G283" s="418"/>
      <c r="H283" s="418"/>
      <c r="I283" s="418"/>
      <c r="J283" s="418"/>
      <c r="K283" s="418"/>
      <c r="L283" s="418"/>
    </row>
    <row r="284" spans="1:12" x14ac:dyDescent="0.25">
      <c r="A284" s="418" t="s">
        <v>105</v>
      </c>
      <c r="B284" s="418"/>
      <c r="C284" s="418"/>
      <c r="D284" s="418"/>
      <c r="E284" s="418"/>
      <c r="F284" s="418"/>
      <c r="G284" s="418"/>
      <c r="H284" s="418"/>
      <c r="I284" s="418"/>
      <c r="J284" s="418"/>
      <c r="K284" s="418"/>
      <c r="L284" s="418"/>
    </row>
    <row r="285" spans="1:12" x14ac:dyDescent="0.25">
      <c r="A285" s="418" t="s">
        <v>102</v>
      </c>
      <c r="B285" s="418"/>
      <c r="C285" s="418"/>
      <c r="D285" s="418"/>
      <c r="E285" s="418"/>
      <c r="F285" s="418"/>
      <c r="G285" s="418"/>
      <c r="H285" s="418"/>
      <c r="I285" s="418"/>
      <c r="J285" s="418"/>
      <c r="K285" s="418"/>
      <c r="L285" s="418"/>
    </row>
    <row r="286" spans="1:12" x14ac:dyDescent="0.25">
      <c r="A286" s="418" t="s">
        <v>103</v>
      </c>
      <c r="B286" s="418"/>
      <c r="C286" s="418"/>
      <c r="D286" s="418"/>
      <c r="E286" s="418"/>
      <c r="F286" s="418"/>
      <c r="G286" s="418"/>
      <c r="H286" s="418"/>
      <c r="I286" s="418"/>
      <c r="J286" s="418"/>
      <c r="K286" s="418"/>
      <c r="L286" s="418"/>
    </row>
    <row r="287" spans="1:12" x14ac:dyDescent="0.25">
      <c r="E287" s="46"/>
      <c r="F287" s="46"/>
      <c r="G287" s="46"/>
      <c r="H287" s="46"/>
      <c r="I287" s="46"/>
      <c r="J287" s="46"/>
      <c r="K287" s="46"/>
      <c r="L287" s="46"/>
    </row>
    <row r="288" spans="1:12" x14ac:dyDescent="0.25">
      <c r="E288" s="46"/>
      <c r="F288" s="46"/>
      <c r="G288" s="46"/>
      <c r="H288" s="46"/>
      <c r="I288" s="46"/>
      <c r="J288" s="46"/>
      <c r="K288" s="46"/>
      <c r="L288" s="46"/>
    </row>
    <row r="289" spans="2:12" s="21" customFormat="1" x14ac:dyDescent="0.25">
      <c r="B289" s="20" t="s">
        <v>154</v>
      </c>
      <c r="E289" s="46"/>
      <c r="F289" s="46"/>
      <c r="G289" s="46"/>
      <c r="H289" s="46"/>
      <c r="I289" s="46"/>
      <c r="J289" s="46"/>
      <c r="K289" s="46"/>
      <c r="L289" s="46"/>
    </row>
    <row r="290" spans="2:12" s="21" customFormat="1" x14ac:dyDescent="0.25">
      <c r="B290" s="20"/>
      <c r="E290" s="46">
        <f>E207-E215-E222</f>
        <v>0</v>
      </c>
      <c r="F290" s="46">
        <f t="shared" ref="F290:L290" si="108">F207-F215-F222</f>
        <v>0</v>
      </c>
      <c r="G290" s="46">
        <f t="shared" si="108"/>
        <v>0</v>
      </c>
      <c r="H290" s="46">
        <f t="shared" si="108"/>
        <v>0</v>
      </c>
      <c r="I290" s="46">
        <f t="shared" si="108"/>
        <v>0</v>
      </c>
      <c r="J290" s="46">
        <f t="shared" si="108"/>
        <v>0</v>
      </c>
      <c r="K290" s="46">
        <f t="shared" si="108"/>
        <v>0</v>
      </c>
      <c r="L290" s="46">
        <f t="shared" si="108"/>
        <v>0</v>
      </c>
    </row>
    <row r="291" spans="2:12" s="21" customFormat="1" x14ac:dyDescent="0.25">
      <c r="B291" s="20"/>
      <c r="E291" s="46">
        <f t="shared" ref="E291:L296" si="109">E208-E216-E223</f>
        <v>0</v>
      </c>
      <c r="F291" s="46">
        <f t="shared" si="109"/>
        <v>0</v>
      </c>
      <c r="G291" s="46">
        <f t="shared" si="109"/>
        <v>0</v>
      </c>
      <c r="H291" s="46">
        <f t="shared" si="109"/>
        <v>0</v>
      </c>
      <c r="I291" s="46">
        <f t="shared" si="109"/>
        <v>0</v>
      </c>
      <c r="J291" s="46">
        <f t="shared" si="109"/>
        <v>0</v>
      </c>
      <c r="K291" s="46">
        <f t="shared" si="109"/>
        <v>0</v>
      </c>
      <c r="L291" s="46">
        <f t="shared" si="109"/>
        <v>0</v>
      </c>
    </row>
    <row r="292" spans="2:12" s="21" customFormat="1" x14ac:dyDescent="0.25">
      <c r="B292" s="20"/>
      <c r="E292" s="46">
        <f t="shared" si="109"/>
        <v>0</v>
      </c>
      <c r="F292" s="46">
        <f t="shared" si="109"/>
        <v>0</v>
      </c>
      <c r="G292" s="46">
        <f t="shared" si="109"/>
        <v>0</v>
      </c>
      <c r="H292" s="46">
        <f t="shared" si="109"/>
        <v>0</v>
      </c>
      <c r="I292" s="46">
        <f t="shared" si="109"/>
        <v>0</v>
      </c>
      <c r="J292" s="46">
        <f t="shared" si="109"/>
        <v>0</v>
      </c>
      <c r="K292" s="46">
        <f t="shared" si="109"/>
        <v>0</v>
      </c>
      <c r="L292" s="46">
        <f t="shared" si="109"/>
        <v>0</v>
      </c>
    </row>
    <row r="293" spans="2:12" s="21" customFormat="1" x14ac:dyDescent="0.25">
      <c r="B293" s="20"/>
      <c r="E293" s="46">
        <f t="shared" si="109"/>
        <v>0</v>
      </c>
      <c r="F293" s="46">
        <f t="shared" si="109"/>
        <v>0</v>
      </c>
      <c r="G293" s="46">
        <f t="shared" si="109"/>
        <v>0</v>
      </c>
      <c r="H293" s="46">
        <f t="shared" si="109"/>
        <v>0</v>
      </c>
      <c r="I293" s="46">
        <f t="shared" si="109"/>
        <v>0</v>
      </c>
      <c r="J293" s="46">
        <f t="shared" si="109"/>
        <v>0</v>
      </c>
      <c r="K293" s="46">
        <f t="shared" si="109"/>
        <v>0</v>
      </c>
      <c r="L293" s="46">
        <f t="shared" si="109"/>
        <v>0</v>
      </c>
    </row>
    <row r="294" spans="2:12" s="21" customFormat="1" x14ac:dyDescent="0.25">
      <c r="B294" s="20"/>
      <c r="E294" s="46">
        <f t="shared" si="109"/>
        <v>0</v>
      </c>
      <c r="F294" s="46">
        <f t="shared" si="109"/>
        <v>0</v>
      </c>
      <c r="G294" s="46">
        <f t="shared" si="109"/>
        <v>0</v>
      </c>
      <c r="H294" s="46">
        <f t="shared" si="109"/>
        <v>0</v>
      </c>
      <c r="I294" s="46">
        <f t="shared" si="109"/>
        <v>0</v>
      </c>
      <c r="J294" s="46">
        <f t="shared" si="109"/>
        <v>0</v>
      </c>
      <c r="K294" s="46">
        <f t="shared" si="109"/>
        <v>0</v>
      </c>
      <c r="L294" s="46">
        <f t="shared" si="109"/>
        <v>0</v>
      </c>
    </row>
    <row r="295" spans="2:12" s="21" customFormat="1" x14ac:dyDescent="0.25">
      <c r="B295" s="20"/>
      <c r="E295" s="46">
        <f t="shared" si="109"/>
        <v>0</v>
      </c>
      <c r="F295" s="46">
        <f t="shared" si="109"/>
        <v>0</v>
      </c>
      <c r="G295" s="46">
        <f t="shared" si="109"/>
        <v>0</v>
      </c>
      <c r="H295" s="46">
        <f t="shared" si="109"/>
        <v>0</v>
      </c>
      <c r="I295" s="46">
        <f t="shared" si="109"/>
        <v>0</v>
      </c>
      <c r="J295" s="46">
        <f t="shared" si="109"/>
        <v>0</v>
      </c>
      <c r="K295" s="46">
        <f t="shared" si="109"/>
        <v>0</v>
      </c>
      <c r="L295" s="46">
        <f t="shared" si="109"/>
        <v>0</v>
      </c>
    </row>
    <row r="296" spans="2:12" s="21" customFormat="1" x14ac:dyDescent="0.25">
      <c r="B296" s="20"/>
      <c r="E296" s="46">
        <f t="shared" si="109"/>
        <v>0</v>
      </c>
      <c r="F296" s="46">
        <f t="shared" si="109"/>
        <v>0</v>
      </c>
      <c r="G296" s="46">
        <f t="shared" si="109"/>
        <v>0</v>
      </c>
      <c r="H296" s="46">
        <f t="shared" si="109"/>
        <v>0</v>
      </c>
      <c r="I296" s="46">
        <f t="shared" si="109"/>
        <v>0</v>
      </c>
      <c r="J296" s="46">
        <f t="shared" si="109"/>
        <v>0</v>
      </c>
      <c r="K296" s="46">
        <f t="shared" si="109"/>
        <v>0</v>
      </c>
      <c r="L296" s="46">
        <f t="shared" si="109"/>
        <v>0</v>
      </c>
    </row>
    <row r="297" spans="2:12" s="21" customFormat="1" x14ac:dyDescent="0.25">
      <c r="B297" s="20"/>
      <c r="E297" s="46"/>
      <c r="F297" s="46"/>
      <c r="G297" s="46"/>
      <c r="H297" s="46"/>
      <c r="I297" s="46"/>
      <c r="J297" s="46"/>
      <c r="K297" s="46"/>
      <c r="L297" s="46"/>
    </row>
    <row r="298" spans="2:12" s="21" customFormat="1" x14ac:dyDescent="0.25">
      <c r="B298" s="20"/>
      <c r="E298" s="46"/>
      <c r="F298" s="46"/>
      <c r="G298" s="46"/>
      <c r="H298" s="46"/>
      <c r="I298" s="46"/>
      <c r="J298" s="46"/>
      <c r="K298" s="46"/>
      <c r="L298" s="46"/>
    </row>
    <row r="299" spans="2:12" s="21" customFormat="1" x14ac:dyDescent="0.25">
      <c r="B299" s="20"/>
      <c r="E299" s="46"/>
      <c r="F299" s="46"/>
      <c r="G299" s="46"/>
      <c r="H299" s="46"/>
      <c r="I299" s="46"/>
      <c r="J299" s="46"/>
      <c r="K299" s="46"/>
      <c r="L299" s="46"/>
    </row>
    <row r="300" spans="2:12" s="21" customFormat="1" x14ac:dyDescent="0.25">
      <c r="B300" s="20"/>
      <c r="E300" s="46">
        <f>E207-E230-E237</f>
        <v>0</v>
      </c>
      <c r="F300" s="46">
        <f t="shared" ref="F300:L300" si="110">F207-F230-F237</f>
        <v>0</v>
      </c>
      <c r="G300" s="46">
        <f t="shared" si="110"/>
        <v>0</v>
      </c>
      <c r="H300" s="46">
        <f t="shared" si="110"/>
        <v>0</v>
      </c>
      <c r="I300" s="46">
        <f t="shared" si="110"/>
        <v>0</v>
      </c>
      <c r="J300" s="46">
        <f t="shared" si="110"/>
        <v>0</v>
      </c>
      <c r="K300" s="46">
        <f t="shared" si="110"/>
        <v>0</v>
      </c>
      <c r="L300" s="46">
        <f t="shared" si="110"/>
        <v>0</v>
      </c>
    </row>
    <row r="301" spans="2:12" s="21" customFormat="1" x14ac:dyDescent="0.25">
      <c r="B301" s="20"/>
      <c r="E301" s="46">
        <f t="shared" ref="E301:L306" si="111">E208-E231-E238</f>
        <v>0</v>
      </c>
      <c r="F301" s="46">
        <f t="shared" si="111"/>
        <v>0</v>
      </c>
      <c r="G301" s="46">
        <f t="shared" si="111"/>
        <v>0</v>
      </c>
      <c r="H301" s="46">
        <f t="shared" si="111"/>
        <v>0</v>
      </c>
      <c r="I301" s="46">
        <f t="shared" si="111"/>
        <v>0</v>
      </c>
      <c r="J301" s="46">
        <f t="shared" si="111"/>
        <v>0</v>
      </c>
      <c r="K301" s="46">
        <f t="shared" si="111"/>
        <v>0</v>
      </c>
      <c r="L301" s="46">
        <f t="shared" si="111"/>
        <v>0</v>
      </c>
    </row>
    <row r="302" spans="2:12" s="21" customFormat="1" x14ac:dyDescent="0.25">
      <c r="B302" s="20"/>
      <c r="E302" s="46">
        <f t="shared" si="111"/>
        <v>0</v>
      </c>
      <c r="F302" s="46">
        <f t="shared" si="111"/>
        <v>0</v>
      </c>
      <c r="G302" s="46">
        <f t="shared" si="111"/>
        <v>0</v>
      </c>
      <c r="H302" s="46">
        <f t="shared" si="111"/>
        <v>0</v>
      </c>
      <c r="I302" s="46">
        <f t="shared" si="111"/>
        <v>0</v>
      </c>
      <c r="J302" s="46">
        <f t="shared" si="111"/>
        <v>0</v>
      </c>
      <c r="K302" s="46">
        <f t="shared" si="111"/>
        <v>0</v>
      </c>
      <c r="L302" s="46">
        <f t="shared" si="111"/>
        <v>0</v>
      </c>
    </row>
    <row r="303" spans="2:12" s="21" customFormat="1" x14ac:dyDescent="0.25">
      <c r="B303" s="20"/>
      <c r="E303" s="46">
        <f t="shared" si="111"/>
        <v>0</v>
      </c>
      <c r="F303" s="46">
        <f t="shared" si="111"/>
        <v>0</v>
      </c>
      <c r="G303" s="46">
        <f t="shared" si="111"/>
        <v>0</v>
      </c>
      <c r="H303" s="46">
        <f t="shared" si="111"/>
        <v>0</v>
      </c>
      <c r="I303" s="46">
        <f t="shared" si="111"/>
        <v>0</v>
      </c>
      <c r="J303" s="46">
        <f t="shared" si="111"/>
        <v>0</v>
      </c>
      <c r="K303" s="46">
        <f t="shared" si="111"/>
        <v>0</v>
      </c>
      <c r="L303" s="46">
        <f t="shared" si="111"/>
        <v>0</v>
      </c>
    </row>
    <row r="304" spans="2:12" s="21" customFormat="1" x14ac:dyDescent="0.25">
      <c r="B304" s="20"/>
      <c r="E304" s="46">
        <f t="shared" si="111"/>
        <v>0</v>
      </c>
      <c r="F304" s="46">
        <f t="shared" si="111"/>
        <v>0</v>
      </c>
      <c r="G304" s="46">
        <f t="shared" si="111"/>
        <v>0</v>
      </c>
      <c r="H304" s="46">
        <f t="shared" si="111"/>
        <v>0</v>
      </c>
      <c r="I304" s="46">
        <f t="shared" si="111"/>
        <v>0</v>
      </c>
      <c r="J304" s="46">
        <f t="shared" si="111"/>
        <v>0</v>
      </c>
      <c r="K304" s="46">
        <f t="shared" si="111"/>
        <v>0</v>
      </c>
      <c r="L304" s="46">
        <f t="shared" si="111"/>
        <v>0</v>
      </c>
    </row>
    <row r="305" spans="5:12" s="21" customFormat="1" x14ac:dyDescent="0.25">
      <c r="E305" s="46">
        <f t="shared" si="111"/>
        <v>0</v>
      </c>
      <c r="F305" s="46">
        <f t="shared" si="111"/>
        <v>0</v>
      </c>
      <c r="G305" s="46">
        <f t="shared" si="111"/>
        <v>0</v>
      </c>
      <c r="H305" s="46">
        <f t="shared" si="111"/>
        <v>0</v>
      </c>
      <c r="I305" s="46">
        <f t="shared" si="111"/>
        <v>0</v>
      </c>
      <c r="J305" s="46">
        <f t="shared" si="111"/>
        <v>0</v>
      </c>
      <c r="K305" s="46">
        <f t="shared" si="111"/>
        <v>0</v>
      </c>
      <c r="L305" s="46">
        <f t="shared" si="111"/>
        <v>0</v>
      </c>
    </row>
    <row r="306" spans="5:12" s="21" customFormat="1" x14ac:dyDescent="0.25">
      <c r="E306" s="46">
        <f t="shared" si="111"/>
        <v>0</v>
      </c>
      <c r="F306" s="46">
        <f t="shared" si="111"/>
        <v>0</v>
      </c>
      <c r="G306" s="46">
        <f t="shared" si="111"/>
        <v>0</v>
      </c>
      <c r="H306" s="46">
        <f t="shared" si="111"/>
        <v>0</v>
      </c>
      <c r="I306" s="46">
        <f t="shared" si="111"/>
        <v>0</v>
      </c>
      <c r="J306" s="46">
        <f t="shared" si="111"/>
        <v>0</v>
      </c>
      <c r="K306" s="46">
        <f t="shared" si="111"/>
        <v>0</v>
      </c>
      <c r="L306" s="46">
        <f t="shared" si="111"/>
        <v>0</v>
      </c>
    </row>
    <row r="307" spans="5:12" s="21" customFormat="1" x14ac:dyDescent="0.25">
      <c r="E307" s="46"/>
      <c r="F307" s="46"/>
      <c r="G307" s="46"/>
      <c r="H307" s="46"/>
      <c r="I307" s="46"/>
      <c r="J307" s="46"/>
      <c r="K307" s="46"/>
      <c r="L307" s="46"/>
    </row>
    <row r="308" spans="5:12" s="21" customFormat="1" x14ac:dyDescent="0.25">
      <c r="E308" s="46">
        <f>E207-E245-E252-E259-E266-E273</f>
        <v>1.5916157281026244E-10</v>
      </c>
      <c r="F308" s="46">
        <f t="shared" ref="F308:L308" si="112">F207-F245-F252-F259-F266-F273</f>
        <v>5.3432813729159534E-11</v>
      </c>
      <c r="G308" s="46">
        <f t="shared" si="112"/>
        <v>-9.0722096501849592E-11</v>
      </c>
      <c r="H308" s="46">
        <f t="shared" si="112"/>
        <v>1.4802026271354407E-10</v>
      </c>
      <c r="I308" s="46">
        <f t="shared" si="112"/>
        <v>-1.0459189070388675E-10</v>
      </c>
      <c r="J308" s="46">
        <f t="shared" si="112"/>
        <v>9.9134922493249178E-11</v>
      </c>
      <c r="K308" s="46">
        <f t="shared" si="112"/>
        <v>-1.7280399333685637E-11</v>
      </c>
      <c r="L308" s="46">
        <f t="shared" si="112"/>
        <v>1.8917489796876907E-10</v>
      </c>
    </row>
    <row r="309" spans="5:12" s="21" customFormat="1" x14ac:dyDescent="0.25">
      <c r="E309" s="46">
        <f t="shared" ref="E309:L314" si="113">E208-E246-E253-E260-E267-E274</f>
        <v>0</v>
      </c>
      <c r="F309" s="46">
        <f t="shared" si="113"/>
        <v>0</v>
      </c>
      <c r="G309" s="46">
        <f t="shared" si="113"/>
        <v>0</v>
      </c>
      <c r="H309" s="46">
        <f t="shared" si="113"/>
        <v>0</v>
      </c>
      <c r="I309" s="46">
        <f t="shared" si="113"/>
        <v>0</v>
      </c>
      <c r="J309" s="46">
        <f t="shared" si="113"/>
        <v>0</v>
      </c>
      <c r="K309" s="46">
        <f t="shared" si="113"/>
        <v>0</v>
      </c>
      <c r="L309" s="46">
        <f t="shared" si="113"/>
        <v>0</v>
      </c>
    </row>
    <row r="310" spans="5:12" s="21" customFormat="1" x14ac:dyDescent="0.25">
      <c r="E310" s="46">
        <f t="shared" si="113"/>
        <v>0</v>
      </c>
      <c r="F310" s="46">
        <f t="shared" si="113"/>
        <v>0</v>
      </c>
      <c r="G310" s="46">
        <f t="shared" si="113"/>
        <v>0</v>
      </c>
      <c r="H310" s="46">
        <f t="shared" si="113"/>
        <v>0</v>
      </c>
      <c r="I310" s="46">
        <f t="shared" si="113"/>
        <v>0</v>
      </c>
      <c r="J310" s="46">
        <f t="shared" si="113"/>
        <v>0</v>
      </c>
      <c r="K310" s="46">
        <f t="shared" si="113"/>
        <v>0</v>
      </c>
      <c r="L310" s="46">
        <f t="shared" si="113"/>
        <v>0</v>
      </c>
    </row>
    <row r="311" spans="5:12" s="21" customFormat="1" x14ac:dyDescent="0.25">
      <c r="E311" s="46">
        <f t="shared" si="113"/>
        <v>-3.0649971449747682E-10</v>
      </c>
      <c r="F311" s="46">
        <f t="shared" si="113"/>
        <v>-4.7748471843078732E-12</v>
      </c>
      <c r="G311" s="46">
        <f t="shared" si="113"/>
        <v>-9.0722096501849592E-11</v>
      </c>
      <c r="H311" s="46">
        <f t="shared" si="113"/>
        <v>3.1604940886609256E-11</v>
      </c>
      <c r="I311" s="46">
        <f t="shared" si="113"/>
        <v>1.1823431123048067E-11</v>
      </c>
      <c r="J311" s="46">
        <f t="shared" si="113"/>
        <v>1.1823431123048067E-11</v>
      </c>
      <c r="K311" s="46">
        <f t="shared" si="113"/>
        <v>-2.7284841053187847E-12</v>
      </c>
      <c r="L311" s="46">
        <f t="shared" si="113"/>
        <v>-4.3655745685100555E-11</v>
      </c>
    </row>
    <row r="312" spans="5:12" s="21" customFormat="1" x14ac:dyDescent="0.25">
      <c r="E312" s="46">
        <f t="shared" si="113"/>
        <v>0</v>
      </c>
      <c r="F312" s="46">
        <f t="shared" si="113"/>
        <v>0</v>
      </c>
      <c r="G312" s="46">
        <f t="shared" si="113"/>
        <v>0</v>
      </c>
      <c r="H312" s="46">
        <f t="shared" si="113"/>
        <v>0</v>
      </c>
      <c r="I312" s="46">
        <f t="shared" si="113"/>
        <v>0</v>
      </c>
      <c r="J312" s="46">
        <f t="shared" si="113"/>
        <v>0</v>
      </c>
      <c r="K312" s="46">
        <f t="shared" si="113"/>
        <v>0</v>
      </c>
      <c r="L312" s="46">
        <f t="shared" si="113"/>
        <v>0</v>
      </c>
    </row>
    <row r="313" spans="5:12" s="21" customFormat="1" x14ac:dyDescent="0.25">
      <c r="E313" s="46">
        <f t="shared" si="113"/>
        <v>0</v>
      </c>
      <c r="F313" s="46">
        <f t="shared" si="113"/>
        <v>0</v>
      </c>
      <c r="G313" s="46">
        <f t="shared" si="113"/>
        <v>0</v>
      </c>
      <c r="H313" s="46">
        <f t="shared" si="113"/>
        <v>0</v>
      </c>
      <c r="I313" s="46">
        <f t="shared" si="113"/>
        <v>0</v>
      </c>
      <c r="J313" s="46">
        <f t="shared" si="113"/>
        <v>0</v>
      </c>
      <c r="K313" s="46">
        <f t="shared" si="113"/>
        <v>0</v>
      </c>
      <c r="L313" s="46">
        <f t="shared" si="113"/>
        <v>0</v>
      </c>
    </row>
    <row r="314" spans="5:12" s="21" customFormat="1" x14ac:dyDescent="0.25">
      <c r="E314" s="46">
        <f t="shared" si="113"/>
        <v>-1.1641532182693481E-10</v>
      </c>
      <c r="F314" s="46">
        <f t="shared" si="113"/>
        <v>0</v>
      </c>
      <c r="G314" s="46">
        <f t="shared" si="113"/>
        <v>0</v>
      </c>
      <c r="H314" s="46">
        <f t="shared" si="113"/>
        <v>0</v>
      </c>
      <c r="I314" s="46">
        <f t="shared" si="113"/>
        <v>0</v>
      </c>
      <c r="J314" s="46">
        <f t="shared" si="113"/>
        <v>2.9103830456733704E-11</v>
      </c>
      <c r="K314" s="46">
        <f t="shared" si="113"/>
        <v>-1.4551915228366852E-11</v>
      </c>
      <c r="L314" s="46">
        <f t="shared" si="113"/>
        <v>-2.9103830456733704E-11</v>
      </c>
    </row>
    <row r="315" spans="5:12" s="21" customFormat="1" x14ac:dyDescent="0.25">
      <c r="E315" s="46"/>
      <c r="F315" s="46"/>
      <c r="G315" s="46"/>
      <c r="H315" s="46"/>
      <c r="I315" s="46"/>
      <c r="J315" s="46"/>
      <c r="K315" s="46"/>
      <c r="L315" s="46"/>
    </row>
    <row r="316" spans="5:12" s="21" customFormat="1" x14ac:dyDescent="0.25">
      <c r="E316" s="46"/>
      <c r="F316" s="46"/>
      <c r="G316" s="46"/>
      <c r="H316" s="46"/>
      <c r="I316" s="46"/>
      <c r="J316" s="46"/>
      <c r="K316" s="46"/>
      <c r="L316" s="46"/>
    </row>
    <row r="317" spans="5:12" s="21" customFormat="1" x14ac:dyDescent="0.25">
      <c r="E317" s="46">
        <f t="shared" ref="E317:L323" si="114">E207-E200-E164-E72</f>
        <v>0</v>
      </c>
      <c r="F317" s="46">
        <f t="shared" si="114"/>
        <v>0</v>
      </c>
      <c r="G317" s="46">
        <f t="shared" si="114"/>
        <v>0</v>
      </c>
      <c r="H317" s="46">
        <f t="shared" si="114"/>
        <v>0</v>
      </c>
      <c r="I317" s="46">
        <f t="shared" si="114"/>
        <v>0</v>
      </c>
      <c r="J317" s="46">
        <f t="shared" si="114"/>
        <v>0</v>
      </c>
      <c r="K317" s="46">
        <f t="shared" si="114"/>
        <v>0</v>
      </c>
      <c r="L317" s="46">
        <f t="shared" si="114"/>
        <v>4.6566128730773926E-10</v>
      </c>
    </row>
    <row r="318" spans="5:12" s="21" customFormat="1" x14ac:dyDescent="0.25">
      <c r="E318" s="46">
        <f t="shared" si="114"/>
        <v>0</v>
      </c>
      <c r="F318" s="46">
        <f t="shared" si="114"/>
        <v>0</v>
      </c>
      <c r="G318" s="46">
        <f t="shared" si="114"/>
        <v>0</v>
      </c>
      <c r="H318" s="46">
        <f t="shared" si="114"/>
        <v>0</v>
      </c>
      <c r="I318" s="46">
        <f t="shared" si="114"/>
        <v>0</v>
      </c>
      <c r="J318" s="46">
        <f t="shared" si="114"/>
        <v>0</v>
      </c>
      <c r="K318" s="46">
        <f t="shared" si="114"/>
        <v>0</v>
      </c>
      <c r="L318" s="46">
        <f t="shared" si="114"/>
        <v>0</v>
      </c>
    </row>
    <row r="319" spans="5:12" s="21" customFormat="1" x14ac:dyDescent="0.25">
      <c r="E319" s="46">
        <f t="shared" si="114"/>
        <v>0</v>
      </c>
      <c r="F319" s="46">
        <f t="shared" si="114"/>
        <v>0</v>
      </c>
      <c r="G319" s="46">
        <f t="shared" si="114"/>
        <v>0</v>
      </c>
      <c r="H319" s="46">
        <f t="shared" si="114"/>
        <v>0</v>
      </c>
      <c r="I319" s="46">
        <f t="shared" si="114"/>
        <v>0</v>
      </c>
      <c r="J319" s="46">
        <f t="shared" si="114"/>
        <v>0</v>
      </c>
      <c r="K319" s="46">
        <f t="shared" si="114"/>
        <v>0</v>
      </c>
      <c r="L319" s="46">
        <f t="shared" si="114"/>
        <v>0</v>
      </c>
    </row>
    <row r="320" spans="5:12" s="21" customFormat="1" x14ac:dyDescent="0.25">
      <c r="E320" s="46">
        <f t="shared" si="114"/>
        <v>-1.0477378964424133E-9</v>
      </c>
      <c r="F320" s="46">
        <f t="shared" si="114"/>
        <v>0</v>
      </c>
      <c r="G320" s="46">
        <f t="shared" si="114"/>
        <v>0</v>
      </c>
      <c r="H320" s="46">
        <f t="shared" si="114"/>
        <v>0</v>
      </c>
      <c r="I320" s="46">
        <f t="shared" si="114"/>
        <v>0</v>
      </c>
      <c r="J320" s="46">
        <f t="shared" si="114"/>
        <v>-5.9117155615240335E-12</v>
      </c>
      <c r="K320" s="46">
        <f t="shared" si="114"/>
        <v>0</v>
      </c>
      <c r="L320" s="46">
        <f t="shared" si="114"/>
        <v>0</v>
      </c>
    </row>
    <row r="321" spans="3:12" s="21" customFormat="1" x14ac:dyDescent="0.25">
      <c r="E321" s="46">
        <f t="shared" si="114"/>
        <v>0</v>
      </c>
      <c r="F321" s="46">
        <f t="shared" si="114"/>
        <v>0</v>
      </c>
      <c r="G321" s="46">
        <f t="shared" si="114"/>
        <v>0</v>
      </c>
      <c r="H321" s="46">
        <f t="shared" si="114"/>
        <v>0</v>
      </c>
      <c r="I321" s="46">
        <f t="shared" si="114"/>
        <v>0</v>
      </c>
      <c r="J321" s="46">
        <f t="shared" si="114"/>
        <v>0</v>
      </c>
      <c r="K321" s="46">
        <f t="shared" si="114"/>
        <v>0</v>
      </c>
      <c r="L321" s="46">
        <f t="shared" si="114"/>
        <v>0</v>
      </c>
    </row>
    <row r="322" spans="3:12" s="21" customFormat="1" x14ac:dyDescent="0.25">
      <c r="E322" s="46">
        <f t="shared" si="114"/>
        <v>0</v>
      </c>
      <c r="F322" s="46">
        <f t="shared" si="114"/>
        <v>0</v>
      </c>
      <c r="G322" s="46">
        <f t="shared" si="114"/>
        <v>0</v>
      </c>
      <c r="H322" s="46">
        <f t="shared" si="114"/>
        <v>0</v>
      </c>
      <c r="I322" s="46">
        <f t="shared" si="114"/>
        <v>0</v>
      </c>
      <c r="J322" s="46">
        <f t="shared" si="114"/>
        <v>0</v>
      </c>
      <c r="K322" s="46">
        <f t="shared" si="114"/>
        <v>0</v>
      </c>
      <c r="L322" s="46">
        <f t="shared" si="114"/>
        <v>0</v>
      </c>
    </row>
    <row r="323" spans="3:12" s="21" customFormat="1" x14ac:dyDescent="0.25">
      <c r="E323" s="46">
        <f t="shared" si="114"/>
        <v>0</v>
      </c>
      <c r="F323" s="46">
        <f t="shared" si="114"/>
        <v>0</v>
      </c>
      <c r="G323" s="46">
        <f t="shared" si="114"/>
        <v>0</v>
      </c>
      <c r="H323" s="46">
        <f t="shared" si="114"/>
        <v>0</v>
      </c>
      <c r="I323" s="46">
        <f t="shared" si="114"/>
        <v>0</v>
      </c>
      <c r="J323" s="46">
        <f t="shared" si="114"/>
        <v>0</v>
      </c>
      <c r="K323" s="46">
        <f t="shared" si="114"/>
        <v>-2.9103830456733704E-11</v>
      </c>
      <c r="L323" s="46">
        <f t="shared" si="114"/>
        <v>0</v>
      </c>
    </row>
    <row r="324" spans="3:12" s="21" customFormat="1" x14ac:dyDescent="0.25">
      <c r="E324" s="46"/>
      <c r="F324" s="46"/>
      <c r="G324" s="46"/>
      <c r="H324" s="46"/>
      <c r="I324" s="46"/>
      <c r="J324" s="46"/>
      <c r="K324" s="46"/>
      <c r="L324" s="46"/>
    </row>
    <row r="325" spans="3:12" s="21" customFormat="1" x14ac:dyDescent="0.25">
      <c r="C325" s="21" t="s">
        <v>159</v>
      </c>
      <c r="D325" s="21" t="s">
        <v>155</v>
      </c>
      <c r="E325" s="46"/>
      <c r="F325" s="46"/>
      <c r="G325" s="46"/>
      <c r="H325" s="46"/>
      <c r="I325" s="46"/>
      <c r="J325" s="46"/>
      <c r="K325" s="46"/>
      <c r="L325" s="46"/>
    </row>
    <row r="326" spans="3:12" s="21" customFormat="1" x14ac:dyDescent="0.25">
      <c r="D326" s="21" t="s">
        <v>157</v>
      </c>
      <c r="E326" s="47">
        <f>SUM(F326:L326)</f>
        <v>8381.4000000000015</v>
      </c>
      <c r="F326" s="46">
        <v>13.6</v>
      </c>
      <c r="G326" s="46"/>
      <c r="H326" s="46"/>
      <c r="I326" s="46">
        <v>5082.6000000000004</v>
      </c>
      <c r="J326" s="46">
        <v>3202.6</v>
      </c>
      <c r="K326" s="46">
        <v>82.6</v>
      </c>
      <c r="L326" s="46">
        <v>0</v>
      </c>
    </row>
    <row r="327" spans="3:12" s="21" customFormat="1" x14ac:dyDescent="0.25">
      <c r="D327" s="21" t="s">
        <v>156</v>
      </c>
      <c r="E327" s="47">
        <f t="shared" ref="E327:E328" si="115">SUM(F327:L327)</f>
        <v>20029.077269999998</v>
      </c>
      <c r="F327" s="46">
        <v>6558.7772699999996</v>
      </c>
      <c r="G327" s="46">
        <v>4891.5</v>
      </c>
      <c r="H327" s="46">
        <v>753.9</v>
      </c>
      <c r="I327" s="46">
        <v>903.6</v>
      </c>
      <c r="J327" s="46">
        <v>5535.1</v>
      </c>
      <c r="K327" s="46">
        <v>1386.2</v>
      </c>
      <c r="L327" s="46">
        <v>0</v>
      </c>
    </row>
    <row r="328" spans="3:12" s="21" customFormat="1" x14ac:dyDescent="0.25">
      <c r="D328" s="21" t="s">
        <v>158</v>
      </c>
      <c r="E328" s="47">
        <f t="shared" si="115"/>
        <v>4701758.3981999997</v>
      </c>
      <c r="F328" s="46">
        <v>671049.72846999997</v>
      </c>
      <c r="G328" s="46">
        <v>691967.74146000005</v>
      </c>
      <c r="H328" s="46">
        <v>681855.33291999996</v>
      </c>
      <c r="I328" s="46">
        <f>400643.33581+I262+I269</f>
        <v>424188.66347000003</v>
      </c>
      <c r="J328" s="46">
        <v>294616.26835999999</v>
      </c>
      <c r="K328" s="46">
        <v>276911.52335999999</v>
      </c>
      <c r="L328" s="46">
        <v>1661169.14016</v>
      </c>
    </row>
    <row r="329" spans="3:12" s="21" customFormat="1" x14ac:dyDescent="0.25">
      <c r="E329" s="47"/>
      <c r="F329" s="46"/>
      <c r="G329" s="46"/>
      <c r="H329" s="46"/>
      <c r="I329" s="46"/>
      <c r="J329" s="46"/>
      <c r="K329" s="46"/>
      <c r="L329" s="46"/>
    </row>
    <row r="330" spans="3:12" s="21" customFormat="1" x14ac:dyDescent="0.25">
      <c r="E330" s="47"/>
      <c r="F330" s="46"/>
      <c r="G330" s="46"/>
      <c r="H330" s="46"/>
      <c r="I330" s="46"/>
      <c r="J330" s="46"/>
      <c r="K330" s="46"/>
      <c r="L330" s="46"/>
    </row>
    <row r="331" spans="3:12" s="21" customFormat="1" x14ac:dyDescent="0.25">
      <c r="C331" s="21" t="s">
        <v>160</v>
      </c>
      <c r="D331" s="21" t="s">
        <v>155</v>
      </c>
      <c r="E331" s="48"/>
      <c r="F331" s="48"/>
      <c r="G331" s="48"/>
      <c r="H331" s="48"/>
      <c r="I331" s="48"/>
      <c r="J331" s="48"/>
      <c r="K331" s="48"/>
      <c r="L331" s="48"/>
    </row>
    <row r="332" spans="3:12" s="21" customFormat="1" x14ac:dyDescent="0.25">
      <c r="D332" s="21" t="s">
        <v>157</v>
      </c>
      <c r="E332" s="48">
        <f t="shared" ref="E332:L334" si="116">E208-E326</f>
        <v>50.899999999999636</v>
      </c>
      <c r="F332" s="48">
        <f t="shared" si="116"/>
        <v>0</v>
      </c>
      <c r="G332" s="48">
        <f t="shared" si="116"/>
        <v>0</v>
      </c>
      <c r="H332" s="48">
        <f t="shared" si="116"/>
        <v>50.9</v>
      </c>
      <c r="I332" s="48">
        <f t="shared" si="116"/>
        <v>0</v>
      </c>
      <c r="J332" s="48">
        <f t="shared" si="116"/>
        <v>0</v>
      </c>
      <c r="K332" s="48">
        <f t="shared" si="116"/>
        <v>0</v>
      </c>
      <c r="L332" s="48">
        <f t="shared" si="116"/>
        <v>0</v>
      </c>
    </row>
    <row r="333" spans="3:12" s="21" customFormat="1" x14ac:dyDescent="0.25">
      <c r="D333" s="21" t="s">
        <v>156</v>
      </c>
      <c r="E333" s="48">
        <f t="shared" si="116"/>
        <v>118.76729000000341</v>
      </c>
      <c r="F333" s="48">
        <f t="shared" si="116"/>
        <v>0</v>
      </c>
      <c r="G333" s="48">
        <f t="shared" si="116"/>
        <v>0</v>
      </c>
      <c r="H333" s="48">
        <f t="shared" si="116"/>
        <v>118.76729</v>
      </c>
      <c r="I333" s="48">
        <f t="shared" si="116"/>
        <v>0</v>
      </c>
      <c r="J333" s="48">
        <f t="shared" si="116"/>
        <v>0</v>
      </c>
      <c r="K333" s="48">
        <f t="shared" si="116"/>
        <v>0</v>
      </c>
      <c r="L333" s="48">
        <f t="shared" si="116"/>
        <v>0</v>
      </c>
    </row>
    <row r="334" spans="3:12" s="21" customFormat="1" x14ac:dyDescent="0.25">
      <c r="D334" s="21" t="s">
        <v>158</v>
      </c>
      <c r="E334" s="48">
        <f t="shared" si="116"/>
        <v>-666.39879000000656</v>
      </c>
      <c r="F334" s="48">
        <f t="shared" si="116"/>
        <v>0</v>
      </c>
      <c r="G334" s="48">
        <f t="shared" si="116"/>
        <v>0</v>
      </c>
      <c r="H334" s="48">
        <f t="shared" si="116"/>
        <v>-666.39879000000656</v>
      </c>
      <c r="I334" s="48">
        <f t="shared" si="116"/>
        <v>0</v>
      </c>
      <c r="J334" s="48">
        <f t="shared" si="116"/>
        <v>0</v>
      </c>
      <c r="K334" s="48">
        <f t="shared" si="116"/>
        <v>0</v>
      </c>
      <c r="L334" s="48">
        <f t="shared" si="116"/>
        <v>0</v>
      </c>
    </row>
    <row r="335" spans="3:12" s="21" customFormat="1" x14ac:dyDescent="0.25">
      <c r="E335" s="49"/>
      <c r="F335" s="49"/>
      <c r="G335" s="49"/>
      <c r="H335" s="49"/>
      <c r="I335" s="49"/>
      <c r="J335" s="49"/>
      <c r="K335" s="49"/>
      <c r="L335" s="49"/>
    </row>
    <row r="336" spans="3:12" s="21" customFormat="1" x14ac:dyDescent="0.25">
      <c r="E336" s="50"/>
      <c r="F336" s="50"/>
      <c r="G336" s="50"/>
      <c r="H336" s="50"/>
      <c r="I336" s="50"/>
      <c r="J336" s="50"/>
      <c r="K336" s="50"/>
      <c r="L336" s="50"/>
    </row>
    <row r="337" spans="1:12" x14ac:dyDescent="0.25">
      <c r="E337" s="50"/>
      <c r="F337" s="50"/>
      <c r="G337" s="50"/>
      <c r="H337" s="50"/>
      <c r="I337" s="50"/>
      <c r="J337" s="50"/>
      <c r="K337" s="50"/>
      <c r="L337" s="50"/>
    </row>
    <row r="343" spans="1:12" ht="31.5" x14ac:dyDescent="0.25">
      <c r="A343" s="53" t="s">
        <v>74</v>
      </c>
      <c r="B343" s="54" t="s">
        <v>162</v>
      </c>
    </row>
    <row r="344" spans="1:12" ht="31.5" x14ac:dyDescent="0.25">
      <c r="A344" s="53" t="s">
        <v>163</v>
      </c>
      <c r="B344" s="58">
        <f>I208</f>
        <v>5082.6000000000004</v>
      </c>
    </row>
    <row r="345" spans="1:12" ht="63" x14ac:dyDescent="0.25">
      <c r="A345" s="55" t="s">
        <v>164</v>
      </c>
      <c r="B345" s="58">
        <f t="shared" ref="B345:B346" si="117">I209</f>
        <v>903.59999999999991</v>
      </c>
    </row>
    <row r="346" spans="1:12" ht="78.75" x14ac:dyDescent="0.25">
      <c r="A346" s="55" t="s">
        <v>165</v>
      </c>
      <c r="B346" s="58">
        <f t="shared" si="117"/>
        <v>424188.66347000003</v>
      </c>
    </row>
    <row r="347" spans="1:12" ht="15.75" x14ac:dyDescent="0.25">
      <c r="A347" s="55" t="s">
        <v>166</v>
      </c>
      <c r="B347" s="58">
        <f>I213</f>
        <v>550155.31357</v>
      </c>
    </row>
    <row r="353" s="21" customFormat="1" x14ac:dyDescent="0.25"/>
    <row r="354" s="21" customFormat="1" x14ac:dyDescent="0.25"/>
    <row r="355" s="21" customFormat="1" x14ac:dyDescent="0.25"/>
    <row r="356" s="21" customFormat="1" x14ac:dyDescent="0.25"/>
    <row r="357" s="21" customFormat="1" x14ac:dyDescent="0.25"/>
    <row r="358" s="21" customFormat="1" x14ac:dyDescent="0.25"/>
    <row r="359" s="21" customFormat="1" x14ac:dyDescent="0.25"/>
    <row r="360" s="21" customFormat="1" x14ac:dyDescent="0.25"/>
    <row r="361" s="21" customFormat="1" x14ac:dyDescent="0.25"/>
    <row r="362" s="21" customFormat="1" x14ac:dyDescent="0.25"/>
    <row r="363" s="21" customFormat="1" x14ac:dyDescent="0.25"/>
    <row r="364" s="21" customFormat="1" x14ac:dyDescent="0.25"/>
    <row r="365" s="21" customFormat="1" x14ac:dyDescent="0.25"/>
    <row r="366" s="21" customFormat="1" x14ac:dyDescent="0.25"/>
    <row r="367" s="21" customFormat="1" x14ac:dyDescent="0.25"/>
    <row r="368" s="21" customFormat="1" x14ac:dyDescent="0.25"/>
    <row r="369" s="21" customFormat="1" x14ac:dyDescent="0.25"/>
    <row r="370" s="21" customFormat="1" x14ac:dyDescent="0.25"/>
    <row r="371" s="21" customFormat="1" x14ac:dyDescent="0.25"/>
  </sheetData>
  <mergeCells count="87">
    <mergeCell ref="A282:L282"/>
    <mergeCell ref="A283:L283"/>
    <mergeCell ref="A284:L284"/>
    <mergeCell ref="A285:L285"/>
    <mergeCell ref="A286:L286"/>
    <mergeCell ref="A281:L281"/>
    <mergeCell ref="A215:C221"/>
    <mergeCell ref="A222:C228"/>
    <mergeCell ref="A229:C229"/>
    <mergeCell ref="A230:C236"/>
    <mergeCell ref="A237:C243"/>
    <mergeCell ref="A244:C244"/>
    <mergeCell ref="A245:C251"/>
    <mergeCell ref="A252:C258"/>
    <mergeCell ref="A259:C265"/>
    <mergeCell ref="A266:C272"/>
    <mergeCell ref="A273:C279"/>
    <mergeCell ref="A214:C214"/>
    <mergeCell ref="A157:A163"/>
    <mergeCell ref="B157:B163"/>
    <mergeCell ref="C157:C163"/>
    <mergeCell ref="A164:C170"/>
    <mergeCell ref="A171:L171"/>
    <mergeCell ref="A172:A192"/>
    <mergeCell ref="B172:B192"/>
    <mergeCell ref="C172:C178"/>
    <mergeCell ref="C179:C185"/>
    <mergeCell ref="C186:C192"/>
    <mergeCell ref="A193:A199"/>
    <mergeCell ref="B193:B199"/>
    <mergeCell ref="C193:C199"/>
    <mergeCell ref="A200:C206"/>
    <mergeCell ref="A207:C213"/>
    <mergeCell ref="A129:A135"/>
    <mergeCell ref="B129:B135"/>
    <mergeCell ref="C129:C135"/>
    <mergeCell ref="A136:A156"/>
    <mergeCell ref="B136:B156"/>
    <mergeCell ref="C136:C142"/>
    <mergeCell ref="C143:C149"/>
    <mergeCell ref="C150:C156"/>
    <mergeCell ref="A87:A93"/>
    <mergeCell ref="B87:B93"/>
    <mergeCell ref="C87:C93"/>
    <mergeCell ref="A94:A128"/>
    <mergeCell ref="B94:B128"/>
    <mergeCell ref="C94:C100"/>
    <mergeCell ref="C101:C107"/>
    <mergeCell ref="C108:C114"/>
    <mergeCell ref="C115:C121"/>
    <mergeCell ref="C122:C128"/>
    <mergeCell ref="A80:A86"/>
    <mergeCell ref="B80:B86"/>
    <mergeCell ref="C80:C86"/>
    <mergeCell ref="A37:A57"/>
    <mergeCell ref="B37:B57"/>
    <mergeCell ref="C37:C43"/>
    <mergeCell ref="C44:C50"/>
    <mergeCell ref="C51:C57"/>
    <mergeCell ref="A58:A64"/>
    <mergeCell ref="B58:B64"/>
    <mergeCell ref="C58:C64"/>
    <mergeCell ref="A65:A71"/>
    <mergeCell ref="B65:B71"/>
    <mergeCell ref="C65:C71"/>
    <mergeCell ref="A72:C78"/>
    <mergeCell ref="A79:L79"/>
    <mergeCell ref="A23:A29"/>
    <mergeCell ref="B23:B29"/>
    <mergeCell ref="C23:C29"/>
    <mergeCell ref="A30:A36"/>
    <mergeCell ref="B30:B36"/>
    <mergeCell ref="C30:C36"/>
    <mergeCell ref="A8:L8"/>
    <mergeCell ref="A9:A15"/>
    <mergeCell ref="B9:B15"/>
    <mergeCell ref="C9:C15"/>
    <mergeCell ref="A16:A22"/>
    <mergeCell ref="B16:B22"/>
    <mergeCell ref="C16:C22"/>
    <mergeCell ref="A2:L2"/>
    <mergeCell ref="A4:A6"/>
    <mergeCell ref="B4:B6"/>
    <mergeCell ref="C4:C6"/>
    <mergeCell ref="D4:D6"/>
    <mergeCell ref="E4:L4"/>
    <mergeCell ref="E5:L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10</vt:i4>
      </vt:variant>
    </vt:vector>
  </HeadingPairs>
  <TitlesOfParts>
    <vt:vector size="20" baseType="lpstr">
      <vt:lpstr>таблица 1</vt:lpstr>
      <vt:lpstr>таблица 2 </vt:lpstr>
      <vt:lpstr>таблица 3</vt:lpstr>
      <vt:lpstr>таблица 4</vt:lpstr>
      <vt:lpstr>Таблица 5</vt:lpstr>
      <vt:lpstr>Таблица 6</vt:lpstr>
      <vt:lpstr>таблица 7</vt:lpstr>
      <vt:lpstr>таблица 8 </vt:lpstr>
      <vt:lpstr>пост 2372 от 30.12.2022</vt:lpstr>
      <vt:lpstr>2022 год</vt:lpstr>
      <vt:lpstr>'таблица 8 '!_ftnref1</vt:lpstr>
      <vt:lpstr>'таблица 2 '!_Hlk67922527</vt:lpstr>
      <vt:lpstr>'таблица 2 '!_Hlk67925744</vt:lpstr>
      <vt:lpstr>'таблица 2 '!_Hlk68618498</vt:lpstr>
      <vt:lpstr>'таблица 2 '!_Hlk69889099</vt:lpstr>
      <vt:lpstr>'таблица 2 '!_Hlk69889156</vt:lpstr>
      <vt:lpstr>'таблица 2 '!Заголовки_для_печати</vt:lpstr>
      <vt:lpstr>'таблица 1'!Область_печати</vt:lpstr>
      <vt:lpstr>'таблица 2 '!Область_печати</vt:lpstr>
      <vt:lpstr>'таблица 8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obmen</dc:creator>
  <cp:lastModifiedBy>Лукашева Лариса Александровна</cp:lastModifiedBy>
  <cp:lastPrinted>2024-12-28T10:52:27Z</cp:lastPrinted>
  <dcterms:created xsi:type="dcterms:W3CDTF">2021-11-09T04:45:45Z</dcterms:created>
  <dcterms:modified xsi:type="dcterms:W3CDTF">2024-12-28T10:52:31Z</dcterms:modified>
</cp:coreProperties>
</file>