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10.10.1.6\общие папки\org.otdel\РЕГИСТРАЦИЯ\# ПРОЕКТЫ_ДЕЛО\ПП-2538\"/>
    </mc:Choice>
  </mc:AlternateContent>
  <xr:revisionPtr revIDLastSave="0" documentId="13_ncr:1_{BED66FEA-CDDB-408D-9520-D2C3162D61FA}" xr6:coauthVersionLast="47" xr6:coauthVersionMax="47" xr10:uidLastSave="{00000000-0000-0000-0000-000000000000}"/>
  <bookViews>
    <workbookView xWindow="-120" yWindow="-120" windowWidth="29040" windowHeight="15840" activeTab="6" xr2:uid="{00000000-000D-0000-FFFF-FFFF00000000}"/>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s>
  <definedNames>
    <definedName name="_xlnm._FilterDatabase" localSheetId="0" hidden="1">'таблица 2'!$A$4:$J$280</definedName>
    <definedName name="_xlnm.Print_Titles" localSheetId="0">'таблица 2'!$4:$8</definedName>
    <definedName name="_xlnm.Print_Area" localSheetId="0">'таблица 2'!$A$1:$J$287</definedName>
    <definedName name="_xlnm.Print_Area" localSheetId="6">'таблица 8'!$A$1:$I$12</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7" i="1" l="1"/>
  <c r="G169" i="1"/>
  <c r="G27" i="1"/>
  <c r="G104" i="1" l="1"/>
  <c r="H104" i="1"/>
  <c r="G90" i="1"/>
  <c r="G89" i="1" l="1"/>
  <c r="G41" i="1"/>
  <c r="G40" i="1"/>
  <c r="G39" i="1"/>
  <c r="G53" i="1"/>
  <c r="G46" i="1"/>
  <c r="G48" i="1"/>
  <c r="G47" i="1"/>
  <c r="G34" i="1"/>
  <c r="J200" i="1"/>
  <c r="G196" i="1"/>
  <c r="G83" i="1"/>
  <c r="G76" i="1"/>
  <c r="I9" i="7"/>
  <c r="H9" i="7"/>
  <c r="J36" i="3"/>
  <c r="H36" i="3"/>
  <c r="K35" i="3"/>
  <c r="J35" i="3"/>
  <c r="I35" i="3"/>
  <c r="H35" i="3"/>
  <c r="K34" i="3"/>
  <c r="J34" i="3"/>
  <c r="I34" i="3"/>
  <c r="H34" i="3"/>
  <c r="J33" i="3"/>
  <c r="I33" i="3"/>
  <c r="H33" i="3"/>
  <c r="K32" i="3"/>
  <c r="J32" i="3"/>
  <c r="I32" i="3"/>
  <c r="H32" i="3"/>
  <c r="K31" i="3"/>
  <c r="J31" i="3"/>
  <c r="I31" i="3"/>
  <c r="I30" i="3" s="1"/>
  <c r="H31" i="3"/>
  <c r="H30" i="3" s="1"/>
  <c r="K29" i="3"/>
  <c r="K23" i="3"/>
  <c r="I23" i="3"/>
  <c r="H23" i="3"/>
  <c r="K22" i="3"/>
  <c r="I22" i="3"/>
  <c r="I36" i="3" s="1"/>
  <c r="K16" i="3"/>
  <c r="H16" i="3"/>
  <c r="K15" i="3"/>
  <c r="K36" i="3" s="1"/>
  <c r="K12" i="3"/>
  <c r="K33" i="3" s="1"/>
  <c r="K9" i="3"/>
  <c r="I9" i="3"/>
  <c r="H9" i="3"/>
  <c r="K30" i="3" l="1"/>
  <c r="I16" i="3"/>
  <c r="E72" i="1" l="1"/>
  <c r="E71" i="1"/>
  <c r="E70" i="1"/>
  <c r="H69" i="1"/>
  <c r="G69" i="1"/>
  <c r="F69" i="1"/>
  <c r="H68" i="1"/>
  <c r="G68" i="1"/>
  <c r="F68" i="1"/>
  <c r="E68" i="1" s="1"/>
  <c r="H67" i="1"/>
  <c r="F67" i="1"/>
  <c r="E67" i="1" s="1"/>
  <c r="J66" i="1"/>
  <c r="I66" i="1"/>
  <c r="I73" i="1"/>
  <c r="E74" i="1"/>
  <c r="E75" i="1"/>
  <c r="F76" i="1"/>
  <c r="J76" i="1"/>
  <c r="J73" i="1" s="1"/>
  <c r="E77" i="1"/>
  <c r="E78" i="1"/>
  <c r="F79" i="1"/>
  <c r="G79" i="1"/>
  <c r="G73" i="1" s="1"/>
  <c r="H79" i="1"/>
  <c r="H73" i="1" s="1"/>
  <c r="J79" i="1"/>
  <c r="E69" i="1" l="1"/>
  <c r="F73" i="1"/>
  <c r="E73" i="1" s="1"/>
  <c r="G66" i="1"/>
  <c r="E79" i="1"/>
  <c r="H66" i="1"/>
  <c r="F66" i="1"/>
  <c r="E76" i="1"/>
  <c r="E66" i="1" l="1"/>
  <c r="F211" i="1" l="1"/>
  <c r="F197" i="1"/>
  <c r="F196" i="1"/>
  <c r="F169" i="1"/>
  <c r="F90" i="1" l="1"/>
  <c r="F89" i="1"/>
  <c r="F41" i="1"/>
  <c r="F48" i="1" l="1"/>
  <c r="F46" i="1"/>
  <c r="F47" i="1"/>
  <c r="F53" i="1"/>
  <c r="F40" i="1"/>
  <c r="F39" i="1"/>
  <c r="F34" i="1"/>
  <c r="F27" i="1" l="1"/>
  <c r="F204" i="1" l="1"/>
  <c r="J207" i="1" l="1"/>
  <c r="G207" i="1"/>
  <c r="H207" i="1"/>
  <c r="J197" i="1" l="1"/>
  <c r="J169" i="1"/>
  <c r="J90" i="1"/>
  <c r="J41" i="1"/>
  <c r="J44" i="1"/>
  <c r="J34" i="1"/>
  <c r="J27" i="1"/>
  <c r="J30" i="1"/>
  <c r="F172" i="1"/>
  <c r="F44" i="1" l="1"/>
  <c r="F214" i="1" l="1"/>
  <c r="J136" i="1"/>
  <c r="J133" i="1"/>
  <c r="I136" i="1"/>
  <c r="I133" i="1"/>
  <c r="H136" i="1"/>
  <c r="H133" i="1"/>
  <c r="G136" i="1"/>
  <c r="G133" i="1"/>
  <c r="F136" i="1"/>
  <c r="F133" i="1"/>
  <c r="J126" i="1"/>
  <c r="I126" i="1"/>
  <c r="H126" i="1"/>
  <c r="G126" i="1"/>
  <c r="F126" i="1"/>
  <c r="J119" i="1"/>
  <c r="I119" i="1"/>
  <c r="H119" i="1"/>
  <c r="G119" i="1"/>
  <c r="F122" i="1"/>
  <c r="F119" i="1"/>
  <c r="H62" i="1"/>
  <c r="H61" i="1"/>
  <c r="H60" i="1"/>
  <c r="G62" i="1"/>
  <c r="G61" i="1"/>
  <c r="G60" i="1"/>
  <c r="F62" i="1"/>
  <c r="F61" i="1"/>
  <c r="F60" i="1"/>
  <c r="E23" i="1"/>
  <c r="E22" i="1"/>
  <c r="E21" i="1"/>
  <c r="E20" i="1"/>
  <c r="E19" i="1"/>
  <c r="E18" i="1"/>
  <c r="J17" i="1"/>
  <c r="I17" i="1"/>
  <c r="H17" i="1"/>
  <c r="G17" i="1"/>
  <c r="F17" i="1"/>
  <c r="E17" i="1" l="1"/>
  <c r="E65" i="1"/>
  <c r="E64" i="1"/>
  <c r="E63" i="1"/>
  <c r="E62" i="1"/>
  <c r="E61" i="1"/>
  <c r="E60" i="1"/>
  <c r="J59" i="1"/>
  <c r="I59" i="1"/>
  <c r="H59" i="1"/>
  <c r="G59" i="1"/>
  <c r="F59" i="1"/>
  <c r="E59" i="1" l="1"/>
  <c r="H273" i="1"/>
  <c r="I273" i="1"/>
  <c r="F273" i="1"/>
  <c r="J214" i="1" l="1"/>
  <c r="E214" i="1" s="1"/>
  <c r="E213" i="1"/>
  <c r="E212" i="1"/>
  <c r="J211" i="1"/>
  <c r="E211" i="1" s="1"/>
  <c r="E210" i="1"/>
  <c r="E209" i="1"/>
  <c r="I208" i="1"/>
  <c r="H208" i="1"/>
  <c r="G208" i="1"/>
  <c r="F208" i="1"/>
  <c r="E206" i="1"/>
  <c r="E205" i="1"/>
  <c r="E204" i="1"/>
  <c r="E203" i="1"/>
  <c r="E202" i="1"/>
  <c r="J201" i="1"/>
  <c r="I201" i="1"/>
  <c r="H201" i="1"/>
  <c r="G201" i="1"/>
  <c r="F201" i="1"/>
  <c r="J208" i="1" l="1"/>
  <c r="E207" i="1"/>
  <c r="G273" i="1"/>
  <c r="E208" i="1"/>
  <c r="E201" i="1"/>
  <c r="I287" i="1"/>
  <c r="I286" i="1"/>
  <c r="I285" i="1"/>
  <c r="I284" i="1"/>
  <c r="I283" i="1"/>
  <c r="I282" i="1"/>
  <c r="I280" i="1"/>
  <c r="I279" i="1"/>
  <c r="I278" i="1"/>
  <c r="I277" i="1"/>
  <c r="I276" i="1"/>
  <c r="I275" i="1"/>
  <c r="I272" i="1"/>
  <c r="I271" i="1"/>
  <c r="I270" i="1"/>
  <c r="I269" i="1"/>
  <c r="I268" i="1"/>
  <c r="I236" i="1"/>
  <c r="I235" i="1"/>
  <c r="I234" i="1"/>
  <c r="I194" i="1"/>
  <c r="I187" i="1"/>
  <c r="I180" i="1"/>
  <c r="I179" i="1"/>
  <c r="I178" i="1"/>
  <c r="I177" i="1"/>
  <c r="I176" i="1"/>
  <c r="I175" i="1"/>
  <c r="I174" i="1"/>
  <c r="I216" i="1" s="1"/>
  <c r="I166" i="1"/>
  <c r="I159" i="1"/>
  <c r="I152" i="1"/>
  <c r="I145" i="1"/>
  <c r="I143" i="1"/>
  <c r="I142" i="1"/>
  <c r="I141" i="1"/>
  <c r="I140" i="1"/>
  <c r="I139" i="1"/>
  <c r="I138" i="1"/>
  <c r="I130" i="1"/>
  <c r="I123" i="1"/>
  <c r="I116" i="1"/>
  <c r="I109" i="1"/>
  <c r="J97" i="1"/>
  <c r="J83" i="1" s="1"/>
  <c r="I94" i="1"/>
  <c r="I87" i="1"/>
  <c r="I86" i="1"/>
  <c r="I107" i="1" s="1"/>
  <c r="I85" i="1"/>
  <c r="I106" i="1" s="1"/>
  <c r="I265" i="1" s="1"/>
  <c r="I84" i="1"/>
  <c r="I105" i="1" s="1"/>
  <c r="H84" i="1"/>
  <c r="I83" i="1"/>
  <c r="I82" i="1"/>
  <c r="I81" i="1"/>
  <c r="I52" i="1"/>
  <c r="I45" i="1"/>
  <c r="I38" i="1"/>
  <c r="I31" i="1"/>
  <c r="I24" i="1"/>
  <c r="I10" i="1"/>
  <c r="I264" i="1" l="1"/>
  <c r="I137" i="1"/>
  <c r="I281" i="1"/>
  <c r="I249" i="1"/>
  <c r="I219" i="1"/>
  <c r="I226" i="1" s="1"/>
  <c r="I102" i="1"/>
  <c r="I223" i="1" s="1"/>
  <c r="I220" i="1"/>
  <c r="I227" i="1" s="1"/>
  <c r="I103" i="1"/>
  <c r="I262" i="1" s="1"/>
  <c r="I251" i="1"/>
  <c r="I221" i="1"/>
  <c r="I228" i="1" s="1"/>
  <c r="I247" i="1"/>
  <c r="I217" i="1"/>
  <c r="I248" i="1"/>
  <c r="I218" i="1"/>
  <c r="J104" i="1"/>
  <c r="I104" i="1"/>
  <c r="I263" i="1" s="1"/>
  <c r="I266" i="1"/>
  <c r="I246" i="1"/>
  <c r="I250" i="1"/>
  <c r="I230" i="1"/>
  <c r="I267" i="1"/>
  <c r="I274" i="1"/>
  <c r="I173" i="1"/>
  <c r="I80" i="1"/>
  <c r="J186" i="1"/>
  <c r="J273" i="1" s="1"/>
  <c r="J183" i="1"/>
  <c r="I245" i="1" l="1"/>
  <c r="I225" i="1"/>
  <c r="I255" i="1" s="1"/>
  <c r="I224" i="1"/>
  <c r="I239" i="1" s="1"/>
  <c r="I101" i="1"/>
  <c r="I257" i="1"/>
  <c r="I242" i="1"/>
  <c r="I253" i="1"/>
  <c r="I238" i="1"/>
  <c r="I261" i="1"/>
  <c r="I260" i="1" s="1"/>
  <c r="I258" i="1"/>
  <c r="I243" i="1"/>
  <c r="I256" i="1"/>
  <c r="I241" i="1"/>
  <c r="I215" i="1"/>
  <c r="F83" i="1"/>
  <c r="F104" i="1" s="1"/>
  <c r="H83" i="1"/>
  <c r="I240" i="1" l="1"/>
  <c r="I237" i="1" s="1"/>
  <c r="I254" i="1"/>
  <c r="I252" i="1" s="1"/>
  <c r="I222" i="1"/>
  <c r="E27" i="1"/>
  <c r="F183" i="1" l="1"/>
  <c r="F270" i="1" s="1"/>
  <c r="G174" i="1" l="1"/>
  <c r="G216" i="1" s="1"/>
  <c r="G175" i="1"/>
  <c r="G217" i="1" s="1"/>
  <c r="H175" i="1"/>
  <c r="H217" i="1" s="1"/>
  <c r="J175" i="1"/>
  <c r="J217" i="1" s="1"/>
  <c r="G176" i="1"/>
  <c r="G218" i="1" s="1"/>
  <c r="H176" i="1"/>
  <c r="H218" i="1" s="1"/>
  <c r="J176" i="1"/>
  <c r="J218" i="1" s="1"/>
  <c r="G177" i="1"/>
  <c r="G219" i="1" s="1"/>
  <c r="H177" i="1"/>
  <c r="H219" i="1" s="1"/>
  <c r="J177" i="1"/>
  <c r="J219" i="1" s="1"/>
  <c r="G178" i="1"/>
  <c r="G220" i="1" s="1"/>
  <c r="H178" i="1"/>
  <c r="H220" i="1" s="1"/>
  <c r="J178" i="1"/>
  <c r="J220" i="1" s="1"/>
  <c r="G179" i="1"/>
  <c r="G221" i="1" s="1"/>
  <c r="H179" i="1"/>
  <c r="H221" i="1" s="1"/>
  <c r="J179" i="1"/>
  <c r="J172" i="1" l="1"/>
  <c r="J221" i="1" s="1"/>
  <c r="H82" i="1"/>
  <c r="H103" i="1" s="1"/>
  <c r="J82" i="1"/>
  <c r="J103" i="1" s="1"/>
  <c r="H287" i="1"/>
  <c r="H286" i="1"/>
  <c r="H285" i="1"/>
  <c r="H284" i="1"/>
  <c r="H283" i="1"/>
  <c r="H282" i="1"/>
  <c r="H280" i="1"/>
  <c r="H279" i="1"/>
  <c r="H278" i="1"/>
  <c r="H277" i="1"/>
  <c r="H276" i="1"/>
  <c r="H275" i="1"/>
  <c r="H272" i="1"/>
  <c r="H271" i="1"/>
  <c r="H270" i="1"/>
  <c r="H269" i="1"/>
  <c r="H268" i="1"/>
  <c r="H236" i="1"/>
  <c r="H235" i="1"/>
  <c r="H234" i="1"/>
  <c r="H159" i="1"/>
  <c r="H152" i="1"/>
  <c r="H194" i="1"/>
  <c r="H187" i="1"/>
  <c r="H180" i="1"/>
  <c r="H251" i="1"/>
  <c r="H250" i="1"/>
  <c r="H249" i="1"/>
  <c r="H248" i="1"/>
  <c r="H247" i="1"/>
  <c r="H174" i="1"/>
  <c r="H216" i="1" s="1"/>
  <c r="H166" i="1"/>
  <c r="H145" i="1"/>
  <c r="H143" i="1"/>
  <c r="H142" i="1"/>
  <c r="H141" i="1"/>
  <c r="H140" i="1"/>
  <c r="H263" i="1" s="1"/>
  <c r="H139" i="1"/>
  <c r="H138" i="1"/>
  <c r="H130" i="1"/>
  <c r="H123" i="1"/>
  <c r="H116" i="1"/>
  <c r="H109" i="1"/>
  <c r="H94" i="1"/>
  <c r="H87" i="1"/>
  <c r="H86" i="1"/>
  <c r="H85" i="1"/>
  <c r="H106" i="1" s="1"/>
  <c r="H265" i="1" s="1"/>
  <c r="H105" i="1"/>
  <c r="H81" i="1"/>
  <c r="H52" i="1"/>
  <c r="H45" i="1"/>
  <c r="H31" i="1"/>
  <c r="H24" i="1"/>
  <c r="H10" i="1"/>
  <c r="H107" i="1" l="1"/>
  <c r="H266" i="1" s="1"/>
  <c r="H102" i="1"/>
  <c r="H261" i="1" s="1"/>
  <c r="H274" i="1"/>
  <c r="H281" i="1"/>
  <c r="H246" i="1"/>
  <c r="H245" i="1" s="1"/>
  <c r="H230" i="1"/>
  <c r="H137" i="1"/>
  <c r="H38" i="1"/>
  <c r="H80" i="1"/>
  <c r="H267" i="1"/>
  <c r="H224" i="1"/>
  <c r="H262" i="1"/>
  <c r="H226" i="1"/>
  <c r="H264" i="1"/>
  <c r="H173" i="1"/>
  <c r="H225" i="1"/>
  <c r="H227" i="1"/>
  <c r="F282" i="1"/>
  <c r="G282" i="1"/>
  <c r="J282" i="1"/>
  <c r="F283" i="1"/>
  <c r="G283" i="1"/>
  <c r="J283" i="1"/>
  <c r="F284" i="1"/>
  <c r="G284" i="1"/>
  <c r="J284" i="1"/>
  <c r="F285" i="1"/>
  <c r="G285" i="1"/>
  <c r="J285" i="1"/>
  <c r="F286" i="1"/>
  <c r="G286" i="1"/>
  <c r="J286" i="1"/>
  <c r="F287" i="1"/>
  <c r="G287" i="1"/>
  <c r="J287" i="1"/>
  <c r="F281" i="1" l="1"/>
  <c r="H223" i="1"/>
  <c r="E283" i="1"/>
  <c r="H228" i="1"/>
  <c r="E286" i="1"/>
  <c r="H101" i="1"/>
  <c r="E285" i="1"/>
  <c r="J281" i="1"/>
  <c r="H260" i="1"/>
  <c r="H255" i="1"/>
  <c r="H240" i="1"/>
  <c r="H257" i="1"/>
  <c r="H242" i="1"/>
  <c r="H253" i="1"/>
  <c r="H238" i="1"/>
  <c r="H256" i="1"/>
  <c r="H241" i="1"/>
  <c r="H254" i="1"/>
  <c r="H239" i="1"/>
  <c r="H215" i="1"/>
  <c r="E287" i="1"/>
  <c r="E284" i="1"/>
  <c r="G281" i="1"/>
  <c r="E281" i="1" s="1"/>
  <c r="E282" i="1"/>
  <c r="H258" i="1" l="1"/>
  <c r="H243" i="1"/>
  <c r="H222" i="1"/>
  <c r="H252" i="1"/>
  <c r="H237" i="1"/>
  <c r="F275" i="1"/>
  <c r="G275" i="1"/>
  <c r="J275" i="1"/>
  <c r="F276" i="1"/>
  <c r="G276" i="1"/>
  <c r="J276" i="1"/>
  <c r="F277" i="1"/>
  <c r="G277" i="1"/>
  <c r="J277" i="1"/>
  <c r="F278" i="1"/>
  <c r="G278" i="1"/>
  <c r="J278" i="1"/>
  <c r="F279" i="1"/>
  <c r="G279" i="1"/>
  <c r="J279" i="1"/>
  <c r="F280" i="1"/>
  <c r="G280" i="1"/>
  <c r="J280" i="1"/>
  <c r="F274" i="1" l="1"/>
  <c r="E278" i="1"/>
  <c r="E279" i="1"/>
  <c r="E280" i="1"/>
  <c r="J274" i="1"/>
  <c r="E276" i="1"/>
  <c r="E277" i="1"/>
  <c r="G274" i="1"/>
  <c r="E275" i="1"/>
  <c r="E165" i="1"/>
  <c r="E164" i="1"/>
  <c r="E163" i="1"/>
  <c r="E162" i="1"/>
  <c r="E161" i="1"/>
  <c r="E160" i="1"/>
  <c r="E158" i="1"/>
  <c r="E157" i="1"/>
  <c r="E156" i="1"/>
  <c r="E155" i="1"/>
  <c r="E154" i="1"/>
  <c r="E153" i="1"/>
  <c r="J159" i="1"/>
  <c r="G159" i="1"/>
  <c r="F159" i="1"/>
  <c r="J152" i="1"/>
  <c r="G152" i="1"/>
  <c r="F152" i="1"/>
  <c r="G194" i="1"/>
  <c r="F194" i="1"/>
  <c r="F174" i="1"/>
  <c r="F216" i="1" s="1"/>
  <c r="J174" i="1"/>
  <c r="J216" i="1" s="1"/>
  <c r="F175" i="1"/>
  <c r="F217" i="1" s="1"/>
  <c r="F176" i="1"/>
  <c r="F218" i="1" s="1"/>
  <c r="F177" i="1"/>
  <c r="F219" i="1" s="1"/>
  <c r="F178" i="1"/>
  <c r="F220" i="1" s="1"/>
  <c r="F179" i="1"/>
  <c r="F221" i="1" s="1"/>
  <c r="J187" i="1"/>
  <c r="G187" i="1"/>
  <c r="F187" i="1"/>
  <c r="E193" i="1"/>
  <c r="E192" i="1"/>
  <c r="E191" i="1"/>
  <c r="E190" i="1"/>
  <c r="E189" i="1"/>
  <c r="E188" i="1"/>
  <c r="J145" i="1"/>
  <c r="G145" i="1"/>
  <c r="F145" i="1"/>
  <c r="E151" i="1"/>
  <c r="E150" i="1"/>
  <c r="E149" i="1"/>
  <c r="E148" i="1"/>
  <c r="E147" i="1"/>
  <c r="E146" i="1"/>
  <c r="F138" i="1"/>
  <c r="G138" i="1"/>
  <c r="J138" i="1"/>
  <c r="F139" i="1"/>
  <c r="G139" i="1"/>
  <c r="J139" i="1"/>
  <c r="F140" i="1"/>
  <c r="G140" i="1"/>
  <c r="F141" i="1"/>
  <c r="G141" i="1"/>
  <c r="J141" i="1"/>
  <c r="F142" i="1"/>
  <c r="G142" i="1"/>
  <c r="J142" i="1"/>
  <c r="F143" i="1"/>
  <c r="G143" i="1"/>
  <c r="G130" i="1"/>
  <c r="F130" i="1"/>
  <c r="G123" i="1"/>
  <c r="F123" i="1"/>
  <c r="G116" i="1"/>
  <c r="F116" i="1"/>
  <c r="J109" i="1"/>
  <c r="G109" i="1"/>
  <c r="F109" i="1"/>
  <c r="E135" i="1"/>
  <c r="E134" i="1"/>
  <c r="E132" i="1"/>
  <c r="E131" i="1"/>
  <c r="E129" i="1"/>
  <c r="E128" i="1"/>
  <c r="E127" i="1"/>
  <c r="E125" i="1"/>
  <c r="E124" i="1"/>
  <c r="E122" i="1"/>
  <c r="E121" i="1"/>
  <c r="E120" i="1"/>
  <c r="E118" i="1"/>
  <c r="E117" i="1"/>
  <c r="E115" i="1"/>
  <c r="E114" i="1"/>
  <c r="E113" i="1"/>
  <c r="E112" i="1"/>
  <c r="E111" i="1"/>
  <c r="E110" i="1"/>
  <c r="F81" i="1"/>
  <c r="G81" i="1"/>
  <c r="J81" i="1"/>
  <c r="F82" i="1"/>
  <c r="F103" i="1" s="1"/>
  <c r="G82" i="1"/>
  <c r="F84" i="1"/>
  <c r="G84" i="1"/>
  <c r="G105" i="1" s="1"/>
  <c r="G264" i="1" s="1"/>
  <c r="J84" i="1"/>
  <c r="J105" i="1" s="1"/>
  <c r="F85" i="1"/>
  <c r="F106" i="1" s="1"/>
  <c r="F265" i="1" s="1"/>
  <c r="G85" i="1"/>
  <c r="G106" i="1" s="1"/>
  <c r="G265" i="1" s="1"/>
  <c r="J85" i="1"/>
  <c r="J106" i="1" s="1"/>
  <c r="J265" i="1" s="1"/>
  <c r="F86" i="1"/>
  <c r="G86" i="1"/>
  <c r="J86" i="1"/>
  <c r="J94" i="1"/>
  <c r="G94" i="1"/>
  <c r="F94" i="1"/>
  <c r="G87" i="1"/>
  <c r="F87" i="1"/>
  <c r="J52" i="1"/>
  <c r="G52" i="1"/>
  <c r="F52" i="1"/>
  <c r="J45" i="1"/>
  <c r="G45" i="1"/>
  <c r="F45" i="1"/>
  <c r="G31" i="1"/>
  <c r="F31" i="1"/>
  <c r="G24" i="1"/>
  <c r="F24" i="1"/>
  <c r="E100" i="1"/>
  <c r="E99" i="1"/>
  <c r="E98" i="1"/>
  <c r="E97" i="1"/>
  <c r="E96" i="1"/>
  <c r="E95" i="1"/>
  <c r="E93" i="1"/>
  <c r="E92" i="1"/>
  <c r="E91" i="1"/>
  <c r="E89" i="1"/>
  <c r="E88" i="1"/>
  <c r="E58" i="1"/>
  <c r="E57" i="1"/>
  <c r="E56" i="1"/>
  <c r="E55" i="1"/>
  <c r="E54" i="1"/>
  <c r="E53" i="1"/>
  <c r="E51" i="1"/>
  <c r="E50" i="1"/>
  <c r="E49" i="1"/>
  <c r="E48" i="1"/>
  <c r="E47" i="1"/>
  <c r="E46" i="1"/>
  <c r="E43" i="1"/>
  <c r="E42" i="1"/>
  <c r="E39" i="1"/>
  <c r="E36" i="1"/>
  <c r="E35" i="1"/>
  <c r="E33" i="1"/>
  <c r="E32" i="1"/>
  <c r="E30" i="1"/>
  <c r="E29" i="1"/>
  <c r="E28" i="1"/>
  <c r="E26" i="1"/>
  <c r="E25" i="1"/>
  <c r="E12" i="1"/>
  <c r="E11" i="1"/>
  <c r="E13" i="1"/>
  <c r="E14" i="1"/>
  <c r="E15" i="1"/>
  <c r="E16" i="1"/>
  <c r="F10" i="1"/>
  <c r="G10" i="1"/>
  <c r="J10" i="1"/>
  <c r="E145" i="1" l="1"/>
  <c r="E159" i="1"/>
  <c r="E109" i="1"/>
  <c r="E187" i="1"/>
  <c r="G103" i="1"/>
  <c r="G262" i="1" s="1"/>
  <c r="F102" i="1"/>
  <c r="F261" i="1" s="1"/>
  <c r="E81" i="1"/>
  <c r="J102" i="1"/>
  <c r="J261" i="1" s="1"/>
  <c r="J264" i="1"/>
  <c r="G102" i="1"/>
  <c r="G261" i="1" s="1"/>
  <c r="E274" i="1"/>
  <c r="E52" i="1"/>
  <c r="F263" i="1"/>
  <c r="G263" i="1"/>
  <c r="E152" i="1"/>
  <c r="E10" i="1"/>
  <c r="E45" i="1"/>
  <c r="E94" i="1"/>
  <c r="F137" i="1"/>
  <c r="E85" i="1"/>
  <c r="G80" i="1"/>
  <c r="F80" i="1"/>
  <c r="E86" i="1"/>
  <c r="E84" i="1"/>
  <c r="F262" i="1"/>
  <c r="F105" i="1"/>
  <c r="F264" i="1" s="1"/>
  <c r="E82" i="1"/>
  <c r="J24" i="1"/>
  <c r="E24" i="1" s="1"/>
  <c r="G137" i="1"/>
  <c r="J166" i="1"/>
  <c r="G166" i="1"/>
  <c r="F166" i="1"/>
  <c r="J173" i="1"/>
  <c r="G173" i="1"/>
  <c r="F173" i="1"/>
  <c r="E181" i="1"/>
  <c r="E182" i="1"/>
  <c r="E183" i="1"/>
  <c r="E184" i="1"/>
  <c r="E185" i="1"/>
  <c r="E186" i="1"/>
  <c r="F180" i="1"/>
  <c r="G180" i="1"/>
  <c r="J180" i="1"/>
  <c r="E195" i="1"/>
  <c r="E198" i="1"/>
  <c r="E199" i="1"/>
  <c r="E180" i="1" l="1"/>
  <c r="E166" i="1"/>
  <c r="E173" i="1"/>
  <c r="F107" i="1" l="1"/>
  <c r="F228" i="1" s="1"/>
  <c r="J107" i="1"/>
  <c r="G107" i="1" l="1"/>
  <c r="G266" i="1" s="1"/>
  <c r="J87" i="1"/>
  <c r="E87" i="1" s="1"/>
  <c r="E90" i="1"/>
  <c r="F248" i="1"/>
  <c r="G248" i="1"/>
  <c r="J231" i="1"/>
  <c r="E231" i="1" s="1"/>
  <c r="J232" i="1"/>
  <c r="E232" i="1" s="1"/>
  <c r="J233" i="1"/>
  <c r="E233" i="1" s="1"/>
  <c r="F234" i="1"/>
  <c r="G234" i="1"/>
  <c r="J234" i="1"/>
  <c r="F235" i="1"/>
  <c r="G235" i="1"/>
  <c r="J235" i="1"/>
  <c r="F236" i="1"/>
  <c r="F243" i="1" s="1"/>
  <c r="G236" i="1"/>
  <c r="J236" i="1"/>
  <c r="E83" i="1" l="1"/>
  <c r="J80" i="1"/>
  <c r="E80" i="1" s="1"/>
  <c r="E106" i="1"/>
  <c r="E105" i="1"/>
  <c r="E102" i="1"/>
  <c r="E138" i="1"/>
  <c r="E142" i="1"/>
  <c r="E141" i="1"/>
  <c r="F268" i="1" l="1"/>
  <c r="G268" i="1"/>
  <c r="J268" i="1"/>
  <c r="F269" i="1"/>
  <c r="G269" i="1"/>
  <c r="J269" i="1"/>
  <c r="G270" i="1"/>
  <c r="J270" i="1"/>
  <c r="F271" i="1"/>
  <c r="G271" i="1"/>
  <c r="J271" i="1"/>
  <c r="F272" i="1"/>
  <c r="G272" i="1"/>
  <c r="J272" i="1"/>
  <c r="F267" i="1" l="1"/>
  <c r="G267" i="1"/>
  <c r="J267" i="1"/>
  <c r="E268" i="1"/>
  <c r="E271" i="1"/>
  <c r="E272" i="1"/>
  <c r="E234" i="1"/>
  <c r="E235" i="1"/>
  <c r="E236" i="1"/>
  <c r="J230" i="1"/>
  <c r="E174" i="1" l="1"/>
  <c r="E178" i="1"/>
  <c r="E177" i="1"/>
  <c r="G251" i="1"/>
  <c r="J250" i="1"/>
  <c r="F250" i="1"/>
  <c r="G249" i="1"/>
  <c r="J248" i="1"/>
  <c r="G247" i="1"/>
  <c r="J246" i="1"/>
  <c r="F246" i="1"/>
  <c r="J251" i="1"/>
  <c r="F251" i="1"/>
  <c r="G250" i="1"/>
  <c r="J249" i="1"/>
  <c r="F249" i="1"/>
  <c r="J247" i="1"/>
  <c r="F247" i="1"/>
  <c r="G246" i="1"/>
  <c r="G215" i="1"/>
  <c r="F230" i="1"/>
  <c r="G230" i="1"/>
  <c r="F215" i="1" l="1"/>
  <c r="E230" i="1"/>
  <c r="F38" i="1" l="1"/>
  <c r="G38" i="1"/>
  <c r="E44" i="1"/>
  <c r="F266" i="1" l="1"/>
  <c r="E41" i="1"/>
  <c r="E136" i="1" l="1"/>
  <c r="J143" i="1"/>
  <c r="J266" i="1" s="1"/>
  <c r="J130" i="1"/>
  <c r="E130" i="1" s="1"/>
  <c r="E133" i="1"/>
  <c r="J140" i="1" l="1"/>
  <c r="J137" i="1" s="1"/>
  <c r="J116" i="1"/>
  <c r="E116" i="1" s="1"/>
  <c r="E119" i="1"/>
  <c r="E34" i="1"/>
  <c r="J31" i="1"/>
  <c r="E31" i="1" s="1"/>
  <c r="E197" i="1"/>
  <c r="J123" i="1"/>
  <c r="E123" i="1" s="1"/>
  <c r="E126" i="1"/>
  <c r="E37" i="1"/>
  <c r="E200" i="1"/>
  <c r="G245" i="1"/>
  <c r="J245" i="1"/>
  <c r="F245" i="1"/>
  <c r="J263" i="1" l="1"/>
  <c r="E263" i="1" s="1"/>
  <c r="F101" i="1"/>
  <c r="F223" i="1"/>
  <c r="F225" i="1"/>
  <c r="F227" i="1"/>
  <c r="F226" i="1"/>
  <c r="F224" i="1"/>
  <c r="F260" i="1" l="1"/>
  <c r="F254" i="1"/>
  <c r="F239" i="1"/>
  <c r="F256" i="1"/>
  <c r="F241" i="1"/>
  <c r="F257" i="1"/>
  <c r="F242" i="1"/>
  <c r="F258" i="1"/>
  <c r="F255" i="1"/>
  <c r="F240" i="1"/>
  <c r="F253" i="1"/>
  <c r="F238" i="1"/>
  <c r="F222" i="1" l="1"/>
  <c r="F252" i="1"/>
  <c r="F237" i="1"/>
  <c r="E179" i="1" l="1"/>
  <c r="E273" i="1" l="1"/>
  <c r="E270" i="1" l="1"/>
  <c r="E176" i="1" l="1"/>
  <c r="E248" i="1"/>
  <c r="E175" i="1" l="1"/>
  <c r="E267" i="1"/>
  <c r="E269" i="1"/>
  <c r="E247" i="1" l="1"/>
  <c r="E143" i="1" l="1"/>
  <c r="E140" i="1" l="1"/>
  <c r="E139" i="1"/>
  <c r="E137" i="1"/>
  <c r="J262" i="1" l="1"/>
  <c r="J38" i="1"/>
  <c r="E38" i="1" s="1"/>
  <c r="E40" i="1"/>
  <c r="J194" i="1"/>
  <c r="E194" i="1" s="1"/>
  <c r="J215" i="1"/>
  <c r="E215" i="1" s="1"/>
  <c r="E196" i="1"/>
  <c r="E104" i="1"/>
  <c r="E103" i="1" l="1"/>
  <c r="E265" i="1" l="1"/>
  <c r="J225" i="1"/>
  <c r="G223" i="1"/>
  <c r="E262" i="1"/>
  <c r="E264" i="1"/>
  <c r="G225" i="1"/>
  <c r="J223" i="1"/>
  <c r="E261" i="1"/>
  <c r="J227" i="1"/>
  <c r="G226" i="1"/>
  <c r="J224" i="1"/>
  <c r="G227" i="1"/>
  <c r="J226" i="1"/>
  <c r="G224" i="1"/>
  <c r="G254" i="1" l="1"/>
  <c r="G239" i="1"/>
  <c r="J256" i="1"/>
  <c r="J241" i="1"/>
  <c r="G256" i="1"/>
  <c r="G241" i="1"/>
  <c r="G253" i="1"/>
  <c r="G238" i="1"/>
  <c r="J255" i="1"/>
  <c r="J240" i="1"/>
  <c r="G257" i="1"/>
  <c r="G242" i="1"/>
  <c r="J254" i="1"/>
  <c r="J239" i="1"/>
  <c r="J257" i="1"/>
  <c r="J242" i="1"/>
  <c r="J253" i="1"/>
  <c r="J238" i="1"/>
  <c r="G255" i="1"/>
  <c r="G240" i="1"/>
  <c r="E227" i="1"/>
  <c r="E257" i="1" l="1"/>
  <c r="G101" i="1" l="1"/>
  <c r="J101" i="1"/>
  <c r="E101" i="1" l="1"/>
  <c r="J260" i="1"/>
  <c r="G260" i="1"/>
  <c r="E107" i="1" l="1"/>
  <c r="G228" i="1"/>
  <c r="J228" i="1"/>
  <c r="E260" i="1" l="1"/>
  <c r="J222" i="1"/>
  <c r="J258" i="1"/>
  <c r="J252" i="1" s="1"/>
  <c r="J243" i="1"/>
  <c r="J237" i="1" s="1"/>
  <c r="G258" i="1"/>
  <c r="G252" i="1" s="1"/>
  <c r="G243" i="1"/>
  <c r="G237" i="1" s="1"/>
  <c r="G222" i="1"/>
  <c r="E222" i="1" l="1"/>
  <c r="E266" i="1"/>
  <c r="E171" i="1" l="1"/>
  <c r="E169" i="1" l="1"/>
  <c r="E170" i="1"/>
  <c r="E168" i="1"/>
  <c r="E172" i="1"/>
  <c r="E167" i="1" l="1"/>
  <c r="E246" i="1" l="1"/>
  <c r="E251" i="1"/>
  <c r="E249" i="1"/>
  <c r="E250" i="1"/>
  <c r="E245" i="1"/>
  <c r="E242" i="1" l="1"/>
  <c r="E219" i="1"/>
  <c r="E216" i="1"/>
  <c r="E220" i="1"/>
  <c r="E221" i="1"/>
  <c r="E218" i="1"/>
  <c r="E217" i="1"/>
  <c r="E226" i="1"/>
  <c r="E240" i="1"/>
  <c r="E258" i="1"/>
  <c r="E224" i="1"/>
  <c r="E243" i="1" l="1"/>
  <c r="E223" i="1"/>
  <c r="E228" i="1"/>
  <c r="E254" i="1"/>
  <c r="E225" i="1"/>
  <c r="E239" i="1"/>
  <c r="E256" i="1"/>
  <c r="E241" i="1"/>
  <c r="E255" i="1" l="1"/>
  <c r="E238" i="1"/>
  <c r="E237" i="1"/>
  <c r="E253" i="1"/>
  <c r="E252" i="1"/>
</calcChain>
</file>

<file path=xl/sharedStrings.xml><?xml version="1.0" encoding="utf-8"?>
<sst xmlns="http://schemas.openxmlformats.org/spreadsheetml/2006/main" count="613" uniqueCount="231">
  <si>
    <t>Таблица 2</t>
  </si>
  <si>
    <t>Ответственный исполнитель /соисполнитель</t>
  </si>
  <si>
    <t>Источник финансирования</t>
  </si>
  <si>
    <t>всего</t>
  </si>
  <si>
    <t>федеральный бюджет</t>
  </si>
  <si>
    <t>бюджет автономного округа</t>
  </si>
  <si>
    <t>местный бюджет</t>
  </si>
  <si>
    <t>иные источники</t>
  </si>
  <si>
    <t>средства по Соглашениям по передаче полномочий</t>
  </si>
  <si>
    <t xml:space="preserve">Итого по 
подпрограмме I
</t>
  </si>
  <si>
    <t>Подпрограмма II "Молодежь Нефтеюганского района"</t>
  </si>
  <si>
    <t xml:space="preserve">Итого по 
подпрограмме II
</t>
  </si>
  <si>
    <t>Итого по подпрограмме III</t>
  </si>
  <si>
    <t>Всего по муниципальной программе</t>
  </si>
  <si>
    <t>в том числе:</t>
  </si>
  <si>
    <t>инвестиции в объекты муниципальной собственности</t>
  </si>
  <si>
    <t>прочие расходы</t>
  </si>
  <si>
    <t>иные  источники</t>
  </si>
  <si>
    <t>средства поселений</t>
  </si>
  <si>
    <t>иные источники *</t>
  </si>
  <si>
    <t>2023 год</t>
  </si>
  <si>
    <t>2024 год</t>
  </si>
  <si>
    <t>Подпрограмма I «Дошкольное, общее и дополнительное образование детей»</t>
  </si>
  <si>
    <t>1.1.</t>
  </si>
  <si>
    <t>1.4.</t>
  </si>
  <si>
    <t>1.5.</t>
  </si>
  <si>
    <t>1.2.</t>
  </si>
  <si>
    <t>2.1.</t>
  </si>
  <si>
    <t>2.2.</t>
  </si>
  <si>
    <t>3.1.</t>
  </si>
  <si>
    <t>3.2.</t>
  </si>
  <si>
    <t>3.3.</t>
  </si>
  <si>
    <t>1.3.</t>
  </si>
  <si>
    <t>Подпрограмма III «Ресурсное обеспечение в сфере образования и молодежной политики»</t>
  </si>
  <si>
    <t>в том числе</t>
  </si>
  <si>
    <t>2.3.</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</si>
  <si>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</si>
  <si>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</si>
  <si>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</si>
  <si>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Финансовые затраты на реализацию  (тыс. рублей)</t>
  </si>
  <si>
    <t>3.4.</t>
  </si>
  <si>
    <t>3.5.</t>
  </si>
  <si>
    <t>3.6.</t>
  </si>
  <si>
    <t>Проектная часть</t>
  </si>
  <si>
    <t>Процессная часть</t>
  </si>
  <si>
    <t xml:space="preserve">Департамент имущественных отношений Нефтеюганского района </t>
  </si>
  <si>
    <t>Ежемесячное денежное вознаграждение за классное руководство педагогическим работникам муниципальных общеобразовательных организаций</t>
  </si>
  <si>
    <t>Организация бесплатного горячего питания обучающихся, получающих начальное общее образование в муниципальных общеобразовательных организациях</t>
  </si>
  <si>
    <t xml:space="preserve">Соисполнитель 3 (Департамент культуры и спорта Нефтеюганского района)
                          </t>
  </si>
  <si>
    <t xml:space="preserve">Соисполнитель 2 (Департамент имущественных отношений Нефтеюганского района)
                          </t>
  </si>
  <si>
    <t>2025 год</t>
  </si>
  <si>
    <t>1.6.</t>
  </si>
  <si>
    <t>2.4.</t>
  </si>
  <si>
    <t>3.7.</t>
  </si>
  <si>
    <t>3.8.</t>
  </si>
  <si>
    <t xml:space="preserve"> П1+П2, С1</t>
  </si>
  <si>
    <t>К</t>
  </si>
  <si>
    <t xml:space="preserve">Региональный проект "Цифровая образовательная среда" (показатель № 5 таблицы 1)    </t>
  </si>
  <si>
    <t xml:space="preserve">Основное мероприятие "Развитие системы оценки качества образования"  </t>
  </si>
  <si>
    <t xml:space="preserve">Региональный проект "Содействие занятости" (показатель № 2 таблицы 1)    </t>
  </si>
  <si>
    <t xml:space="preserve">Основное мероприятие "Обеспечение комплексной безопасности и комфортных условий образовательного процесса" (показатель № 4 таблицы 1)    </t>
  </si>
  <si>
    <t xml:space="preserve">Основное мероприятие "Создание в образовательных организациях условий для получения детьми-инвалидами качественного образования"  (показатель № 4 таблицы 1)    </t>
  </si>
  <si>
    <t>Основное мероприятие "Капитальный ремонт и оснащение немонтируемыми средствами обучения и воспитания объектов общеобразовательных организаций"  (показатель № 4 таблицы 1)</t>
  </si>
  <si>
    <t xml:space="preserve">Региональный проект "Успех каждого ребенка" (показатель № 3 таблицы 1)    </t>
  </si>
  <si>
    <t xml:space="preserve">Департамент строительства и жилищно-коммунального комплекса </t>
  </si>
  <si>
    <t>Департамент строительства и жилищно-коммунального комплекса</t>
  </si>
  <si>
    <t>2026 год</t>
  </si>
  <si>
    <t>2027-2030 год</t>
  </si>
  <si>
    <t>Департамент культуры и спорта Нефтеюганского района</t>
  </si>
  <si>
    <t>Департамент строительства и жилищно-коммунального комплекса, Департамент имущественных отношений Нефтеюганского района, в том числе:</t>
  </si>
  <si>
    <t>Департамент имущественных отношений Нефтеюганского района</t>
  </si>
  <si>
    <t>Соисполнитель 1 (Департамент строительства и жилищно-коммунального комплекса Нефтеюганского района)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</si>
  <si>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</si>
  <si>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Региональный проект "Патриотическое воспитание граждан Российской Федерации"</t>
  </si>
  <si>
    <t>1.5.1.</t>
  </si>
  <si>
    <t>1.5.2.</t>
  </si>
  <si>
    <t>1.5.3.</t>
  </si>
  <si>
    <t>1.7.</t>
  </si>
  <si>
    <t>Департамент образования Нефтеюганского района</t>
  </si>
  <si>
    <t>Департамент образования  Нефтеюганского района</t>
  </si>
  <si>
    <t>Департамент образованияНефтеюганского района, Департамент культуры и спорта Нефтеюганского района, в том числе:</t>
  </si>
  <si>
    <t xml:space="preserve"> Департамент образования  Нефтеюганского района</t>
  </si>
  <si>
    <t xml:space="preserve">Департамент образования Нефтеюганского района </t>
  </si>
  <si>
    <t>Ответственный исполнитель  (Департамент образования Нефтеюганского района)</t>
  </si>
  <si>
    <t>Основное мероприятие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 (показатель № 1 таблицы 1, показатель № 4 таблицы 8)</t>
  </si>
  <si>
    <t xml:space="preserve">Региональный проект "Социальная активность" </t>
  </si>
  <si>
    <t xml:space="preserve">Основное мероприятие "Создание условий для вовлечения молодежи в активную социальную деятельность. Поддержка
общественных инициатив и проектов, в том числе в сфере добровольчества (волонтерства)" </t>
  </si>
  <si>
    <t xml:space="preserve">Основное мероприятие "Создание условий для развития 
гражданско-патриотических, военно-патриотических качеств молодежи" 
</t>
  </si>
  <si>
    <t xml:space="preserve">Основное мероприятие "Обеспечение развития молодежной политики и патриотического воспитания граждан на территории Нефтеюганского района" </t>
  </si>
  <si>
    <t xml:space="preserve">Основное мероприятие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 (показатель № 3, 6 таблицы 1, показатель № 5, 6 таблицы 8)                                   </t>
  </si>
  <si>
    <t>Основное мероприятие "Обеспечение реализации общедоступного и бесплатного дошкольного, общего и дополнительного образования детей" (показатель № 2, 6, таблицы 1, показатель № 2 таблицы 8)</t>
  </si>
  <si>
    <t>Основное мероприятие  "Организация отдыха и оздоровления детей"  (показатель № 1 таблицы 8)</t>
  </si>
  <si>
    <t xml:space="preserve">Региональный проект "Современная школа" (показатель № 4 таблицы 1, № 3 таблицы 8)  </t>
  </si>
  <si>
    <t>Основное мероприятие "Обеспечение функций управления в сфере образования и молодежной политики. Финансовое обеспечение отдельных государственных полномочий"  (показатель № 2, 3, 4, 5, 6, таблицы 1, № 1 таблицы 8)</t>
  </si>
  <si>
    <t xml:space="preserve">Основное мероприятие "Развитие инфраструктуры системы образования (проектирование, строительство (реконструкция) объектов образования, приобретение объектов недвижимого имущества для размещения образовательных организаций"  (показатель № 2, 3 таблицы 1, № 3 таблицы 8)    </t>
  </si>
  <si>
    <t>1.5.4.</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</si>
  <si>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</si>
  <si>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</si>
  <si>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</si>
  <si>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</si>
  <si>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</si>
  <si>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 xml:space="preserve">Наименование порядка, номер приложения
 (при наличии) либо реквизиты нормативного правового акта утвержденного Порядка 
</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</si>
  <si>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</si>
  <si>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Задача 1. Модернизация системы дошкольного, общего и дополнительного образования детей.
Задача 2. Развитие вариативности воспитательных систем и технологий, направленных на формирование индивидуальной траектории развития личности ребенка с учетом его потребностей, интересов и способностей</t>
  </si>
  <si>
    <t xml:space="preserve">Региональный проект "Цифровая образовательная среда" </t>
  </si>
  <si>
    <t xml:space="preserve">Внедрение единой федеральной информационно-сервисной платформы цифровой образовательной среды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</si>
  <si>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</si>
  <si>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Региональный проект "Патриотическое воспитание граждан Российской Федерации"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</si>
  <si>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</si>
  <si>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</si>
  <si>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Основное мероприятие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t>
  </si>
  <si>
    <t>Организация курсов повышение квалификации педагогических и руководящих работников</t>
  </si>
  <si>
    <t>Предоставление социальных льгот, гарантии и компенсации работникам образовательных организаций</t>
  </si>
  <si>
    <t>Предоставление стипендии</t>
  </si>
  <si>
    <t xml:space="preserve">Проведение конкурсов профессионального мастерства и поощрение лучших педагогов общего, дошкольного и дополнительного образования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</si>
  <si>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Порядок предоставления денежного поощрения победителям и призерам конкурсов профессионального мастерства педагогов 
</t>
  </si>
  <si>
    <t>Проведение совещаний, конференций и мероприятий по актуальным вопросам образования. Поддержка наиболее активных участников краудсорсинговых проектов.</t>
  </si>
  <si>
    <t>Основное мероприятие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t>
  </si>
  <si>
    <t>Реализация программы персонифицированного финансирования дополнительного
образования детей в муниципальном образовании, в том числе поддержка негосударственных организаций, реализующих дополнительные общеобразовательные программы с помощью социального сертификата</t>
  </si>
  <si>
    <t>Поддержка способных и талантливых учащихся (организация  и проведение мероприятий по развитию одаренных детей (олимпиады, конкурсы, форумы, профильные классы, смены, учебно-тренировочные сборы и др.)</t>
  </si>
  <si>
    <t>Поощрение лучших учащихся (победители олимпиад и конкурсов, выпускники школ, получивших аттестат о среднем образовании с отличием)</t>
  </si>
  <si>
    <t>Проведение мероприятий по совершенствованию воспитательной работы (в том числе конкурсной направленности с обучающимися). Организация и проведение мероприятий по профилактике правонарушений, потребления психоактивных веществ, алкоголя, табакокурения.</t>
  </si>
  <si>
    <t>Основное мероприятие "Обеспечение реализации общедоступного и бесплатного дошкольного, общего и дополнительного образования детей"</t>
  </si>
  <si>
    <t>Обеспечение деятельности и создание условий для предоставления муниципальных услуг (работ), оказываемых муниципальными образовательными организациями дошкольного, общего и дополнительного образования</t>
  </si>
  <si>
    <t xml:space="preserve">Предоставления субсидий на возмещение затрат частных образовательных организаций </t>
  </si>
  <si>
    <t>Постановление Администрации Нефтеюганского района от 14.03.2022 № 350-па-нпа «Об утверждении Порядка предоставления субсидий юридическим лицам, индивидуальным предпринимателям на возмещение затрат по получению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t>
  </si>
  <si>
    <t>Организация бесплатного горячего питания обучающихся, получающих начальное общее образование в муниципальных образовательных организациях</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</si>
  <si>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</si>
  <si>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Ежемесячное денежное вознаграждение за классное руководство педагогическим работникам муниципальных общеобразовательных организациях</t>
  </si>
  <si>
    <t>Основное мероприятие "Развитие системы оценки качества образования"</t>
  </si>
  <si>
    <t>Организация и проведение государственной итоговой аттестации обучающихся, освоивших образовательные программы основного общего образования и среднего общего образования</t>
  </si>
  <si>
    <t xml:space="preserve">Основное мероприятие "Организация отдыха и оздоровления детей"   </t>
  </si>
  <si>
    <t>Предоставление путевок детям</t>
  </si>
  <si>
    <t>Организация лагерей с дневным пребыванием детей, палаточных лагерей, лагерях труда и отдыха с дневным пребыванием детей</t>
  </si>
  <si>
    <t xml:space="preserve">Обеспечение комплекса мер по безопасности  отдыха детей и молодежи </t>
  </si>
  <si>
    <t>Организация питания в  лагерях с дневным пребыванием детей, палаточных лагерях, лагерях труда и отдыха с дневным пребыванием детей</t>
  </si>
  <si>
    <t>Мероприятия по развитию системы отдыха и оздоровления детей</t>
  </si>
  <si>
    <t>Цель 2. Повышение эффективности реализации молодежной политики в интересах инновационного социально ориентированного развития Нефтеюганского района</t>
  </si>
  <si>
    <t>Задача 3. Обеспечение эффективной системы социализации и самореализации молодежи, развитие потенциала молодежи</t>
  </si>
  <si>
    <t>Подпрограмма II «Молодежь Нефтеюганского района</t>
  </si>
  <si>
    <t>Организация, проведение и участие в мероприятиях, направленных на развитие и поддержку добровольчества (волонтерства)</t>
  </si>
  <si>
    <t xml:space="preserve">Основное мероприятие "Создание условий для вовлечения молодежи в активную социальную деятельность. Поддержка общественных инициатив и проектов, в том числе в сфере добровольчества (волонтерства)"   </t>
  </si>
  <si>
    <t>Реализация мер, направленных на выявление, развитие и поддержку талантливой и творческой молодежи</t>
  </si>
  <si>
    <t>Организация, проведение и участие в мероприятиях, направленных на профессиональную ориентацию и  временную занятость несовершеннолетних граждан</t>
  </si>
  <si>
    <t>Основное мероприятие "Создание условий для развития гражданско-патриотических, военно-патриотических качеств молодежи"</t>
  </si>
  <si>
    <t>Организация, проведение и участие в мероприятиях гражданско-патриотического и правового воспитания молодежи</t>
  </si>
  <si>
    <t xml:space="preserve">Организация, проведение и участие в мероприятиях по формированию  положительной мотивации и подготовки допризывной молодежи к прохождению военной службы. Развитие материально-технической базы  кадетских классов и военно-патриотических клубов и объединений </t>
  </si>
  <si>
    <t>Основное мероприятие "Обеспечение развития молодежной политики и патриотического воспитания граждан на территории Нефтеюганского района"</t>
  </si>
  <si>
    <t>Обеспечение деятельности муниципального автономного учреждения Нефтеюганского района «Перспектива"</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</si>
  <si>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</si>
  <si>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Задача 3. Развитие инфраструктуры и организационно-экономических механизмов, обеспечивающих равную доступность услуг дошкольного, общего и дополнительного образования детей.</t>
  </si>
  <si>
    <t xml:space="preserve"> Подпрограмма III «Ресурсное обеспечение в сфере образования и молодежной политики».</t>
  </si>
  <si>
    <t xml:space="preserve">Региональный проект "Содействие занятости" </t>
  </si>
  <si>
    <t>Создание дополнительных мест для детей в возрасте до 3 лет в образовательных организациях, осуществляющих образовательную деятельность по образовательным программам дошкольного образования</t>
  </si>
  <si>
    <t>Региональный проект "Современная школа"</t>
  </si>
  <si>
    <t>Создание и развитие современной инфраструктуры образования</t>
  </si>
  <si>
    <t xml:space="preserve">Региональный проект "Успех каждого ребенка" </t>
  </si>
  <si>
    <t>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</si>
  <si>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 xml:space="preserve">Основное мероприятие "Обеспечение комплексной безопасности и комфортных условий образовательного процесса" </t>
  </si>
  <si>
    <t xml:space="preserve">Соблюдение обязательных требований санитарно-эпидемиологической, пожарной, антитеррористической безопасности, строительных норм, федеральных государственных образовательных стандартов, внедрение в образовательных организациях энергосберегающих технологий </t>
  </si>
  <si>
    <t>Основное мероприятие "Развитие инфраструктуры системы образования (проектирование, строительство (реконструкция) объектов образования, приобретение объектов недвижимого имущества для размещения образовательных организаций"</t>
  </si>
  <si>
    <t>Основное меропритие "Обеспечение функций управления в сфере образования и молодежной политики. Финансовое обеспечение отдельных государственных полномочий"</t>
  </si>
  <si>
    <t>Обеспечение деятельности по реализации полномочий и нормативно-правовому регулированию в сфере образования и молодежной политики</t>
  </si>
  <si>
    <t>Реализация мероприятий по исполнению публичных обязательств перед физическими лицами и обеспечивающее материальную поддержку воспитания и обучения обучающихся и воспитанников в дошкольных образовательных организациях, общеобразовательных организациях, частных общеобразовательных организациях, частных организациях, осуществляющих образовательную деятельность по реализации образовательных программ дошкольного образования, расположенных в автономном округе</t>
  </si>
  <si>
    <t>Реализация мероприятий по обеспечению питанием обучающихся, относящихся к категориям детей-сирот и детей, оставшихся без попечения родителей, лиц из числа детей-сирот и детей, оставшихся без попечения родителей, детей из многодетных семей, детей из малоимущих семей, обучающихся с ограниченными возможностями здоровья, детей-инвалидов</t>
  </si>
  <si>
    <t>Основное мероприятие "Капитальный ремонт и оснащение немонтируемыми средствами обучения и воспитания объектов общеобразовательных организаций"</t>
  </si>
  <si>
    <t>Основное мероприятие "Создание в образовательных организациях условий для получения детьми-инвалидами качественного образования"</t>
  </si>
  <si>
    <t xml:space="preserve">Обеспечение условий для беспрепятственного доступа к объектам образования посредством проведения комплекса мероприятий по дооборудованию и адаптации объектов </t>
  </si>
  <si>
    <t xml:space="preserve">Обеспечение доступности предоставляемых инвалидам услуг  с учетом имеющихся у них нарушений (оснащение образовательных организаций современным, специальным, в том числе реабилитационным, оборудованием, повышение квалификации педагогических работников по вопросам обучения и воспитания детей с ограниченными возможностями здоровья)  </t>
  </si>
  <si>
    <t>Таблица 4</t>
  </si>
  <si>
    <t>Перечень</t>
  </si>
  <si>
    <t>реализуемых объектов на 2023 год и плановый период 2024-2025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</si>
  <si>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 xml:space="preserve">№ </t>
  </si>
  <si>
    <t>Наименование объекта</t>
  </si>
  <si>
    <t>Мощность</t>
  </si>
  <si>
    <t>Срок строительства, проектирования (характер работ)</t>
  </si>
  <si>
    <t>Стоимость объекта в ценах соответствующих лет с учетом периода реализации проекта (планируемый объем инвестиций)</t>
  </si>
  <si>
    <t>Остаток стоимости на 01.01.2024</t>
  </si>
  <si>
    <t>Инвестиции</t>
  </si>
  <si>
    <t xml:space="preserve">Механизм реализации </t>
  </si>
  <si>
    <t>Заказчик по строительству (приобретению)</t>
  </si>
  <si>
    <t xml:space="preserve">в том числе </t>
  </si>
  <si>
    <t>2026-2030 годы</t>
  </si>
  <si>
    <t>Всего:</t>
  </si>
  <si>
    <t>Таблица 5</t>
  </si>
  <si>
    <t>Перечень объектов капитального строительства</t>
  </si>
  <si>
    <t>№ п/п</t>
  </si>
  <si>
    <t>Наименование объекта (нвестиционного проекта)</t>
  </si>
  <si>
    <t>Показатель мощности</t>
  </si>
  <si>
    <t>Срок строительства (приобретения)</t>
  </si>
  <si>
    <t>Механизм реализации (источник финансирования)</t>
  </si>
  <si>
    <t>Наименование целевого показателя</t>
  </si>
  <si>
    <t xml:space="preserve">Средняя общеобразовательная школа в пгт. Пойковский (Общеобразовательная организация с углубленным изучением) </t>
  </si>
  <si>
    <t>мест</t>
  </si>
  <si>
    <t>2029-2030 (ПИР, СМР)</t>
  </si>
  <si>
    <t>прямые инвестиции (бюджет автономного округа, местный бюджет)</t>
  </si>
  <si>
    <t>Число созданных новых мест в общеобразовательных организациях</t>
  </si>
  <si>
    <t xml:space="preserve">Реконструкция здания школы, расположенного по адресу: Нефтеюганский район, п. Каркатеевы, ул. Центральная, д. 42 </t>
  </si>
  <si>
    <t>Таблица 6</t>
  </si>
  <si>
    <t xml:space="preserve">Перечень </t>
  </si>
  <si>
    <t xml:space="preserve">объектов социально-культурного и коммунально-бытового назначения, масштабных инвестиционных проектов </t>
  </si>
  <si>
    <t>(далее - инвестиционные проекты)</t>
  </si>
  <si>
    <t>Наименование нвестиционного проекта</t>
  </si>
  <si>
    <t>Объем финансирования инвестиционного проекта (тыс. руб.)</t>
  </si>
  <si>
    <t>Эффект от реализации инвестиционного проекта (налоговых поступлений, количество создаваемых мест в детских дошкольных учреждениях и т.п.)</t>
  </si>
  <si>
    <t>Таблица 7</t>
  </si>
  <si>
    <t>Сведения</t>
  </si>
  <si>
    <t>о прогнозных и фактических условных и безусловных обязательствах, возникающих при испонении концессионного соглашения</t>
  </si>
  <si>
    <t>Наименование концессионного соглашения</t>
  </si>
  <si>
    <t>Реквизиты решения Правительства автономного округа</t>
  </si>
  <si>
    <t>Срок реализации</t>
  </si>
  <si>
    <t>Сведения о фактически исполненных обязательствах на 01.01.2023 года</t>
  </si>
  <si>
    <t>Сведения о прогнозных условных и безусловных обязательств, возникающих при испонении концессионного соглашения</t>
  </si>
  <si>
    <t>Таблица 8</t>
  </si>
  <si>
    <t>Показатели, характеризующие эффективность структурного элемента (основного мероприятия) муниципальной программы</t>
  </si>
  <si>
    <t>Наименование показателя</t>
  </si>
  <si>
    <t>Базовый показатель на начало реализации муниципальной программы</t>
  </si>
  <si>
    <t>Значение показателя по годам</t>
  </si>
  <si>
    <t>Целевое значение показателя на момент окончания действия  муниципальной программы</t>
  </si>
  <si>
    <t>2023 г</t>
  </si>
  <si>
    <t>2024 г</t>
  </si>
  <si>
    <t>2025 г</t>
  </si>
  <si>
    <t>2026 г</t>
  </si>
  <si>
    <t>2027-2030 г</t>
  </si>
  <si>
    <t>Доля детей в возрасте от 6 до 17 лет (включительно), охваченных всеми формами отдыха и оздоровления, от общей численности детей, нуждающихся в оздоровлении (%)</t>
  </si>
  <si>
    <t xml:space="preserve">Численность педагогических работников, участвующих в реализации образовательных программ, включающих основы финансовой грамотности (человек) </t>
  </si>
  <si>
    <t xml:space="preserve">Созданы новые места в муниципальных общеобразовательных организациях (мест) </t>
  </si>
  <si>
    <t xml:space="preserve">Доля выпускников 11 классов в местах традиционного проживания и традиционной хозяйственной деятельности коренных малочисленных народов Севера, продолживших обучение в профессиональных образовательных организациях или образовательных организациях высшего образования, от общей численности выпускников из числа коренных малочисленных народов Севера муниципального района (%) </t>
  </si>
  <si>
    <t>Доля детей в возрасте от 5 до 18 лет, получающих дополнительное образование с использованием сертификата персонифицированного финансирования дополнительного образования, в общей численности детей, получающих дополнительное образование за счет бюджетных средств (за исключением обучающихся в образовательных организациях дополнительного образования детей со специальными наименованиями "детская школа искусств", "детская музыкальная школа", "детская хоровая школа", "детская художественная школа", "детская хореографическая школа", "детская театральная школа", "детская цирковая школа", "детская школа художественных ремесел") (%)</t>
  </si>
  <si>
    <t>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</si>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</sst>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 #,##0.00000\ _₽_-;\-* #,##0.00000\ _₽_-;_-* &quot;-&quot;??\ _₽_-;_-@_-"/>
    <numFmt numFmtId="166" formatCode="_-* #,##0.00000\ _₽_-;\-* #,##0.00000\ _₽_-;_-* &quot;-&quot;?????\ _₽_-;_-@_-"/>
    <numFmt numFmtId="167" formatCode="#,##0.000000"/>
    <numFmt numFmtId="168" formatCode="0.00000"/>
    <numFmt numFmtId="169" formatCode="_-* #,##0.000000\ _₽_-;\-* #,##0.000000\ _₽_-;_-* &quot;-&quot;??\ _₽_-;_-@_-"/>
    <numFmt numFmtId="170" formatCode="#,##0.00000"/>
    <numFmt numFmtId="171" formatCode="0.0"/>
    <numFmt numFmtId="172" formatCode="#,##0.0"/>
    <numFmt numFmtId="173" formatCode="000000"/>
  </numFmts>
  <fonts count="28" x14ac:knownFonts="1">
    <font>
      <sz val="11"/>
      <color theme="1"/>
      <name val="Calibri"/>
      <family val="2"/>
      <charset val="204"/>
      <scheme val="minor"/>
    </font>
    <font>
      <sz val="12"/>
      <name val="Times New Roman"/>
      <family val="1"/>
      <charset val="204"/>
    </font>
    <font>
      <sz val="8"/>
      <name val="Calibri"/>
      <family val="2"/>
      <charset val="204"/>
    </font>
    <font>
      <b/>
      <sz val="11"/>
      <name val="Calibri"/>
      <family val="2"/>
      <charset val="204"/>
      <scheme val="minor"/>
    </font>
    <font>
      <sz val="11"/>
      <color theme="1"/>
      <name val="Calibri"/>
      <family val="2"/>
      <charset val="204"/>
      <scheme val="minor"/>
    </font>
    <font>
      <b/>
      <sz val="12"/>
      <name val="Times New Roman"/>
      <family val="1"/>
      <charset val="204"/>
    </font>
    <font>
      <sz val="12"/>
      <name val="Calibri"/>
      <family val="2"/>
      <charset val="204"/>
      <scheme val="minor"/>
    </font>
    <font>
      <sz val="10"/>
      <name val="Times New Roman"/>
      <family val="1"/>
      <charset val="204"/>
    </font>
    <font>
      <sz val="10"/>
      <name val="Calibri"/>
      <family val="2"/>
      <charset val="204"/>
      <scheme val="minor"/>
    </font>
    <font>
      <sz val="10"/>
      <name val="Calibri"/>
      <family val="2"/>
      <charset val="204"/>
    </font>
    <font>
      <sz val="11"/>
      <name val="Calibri"/>
      <family val="2"/>
      <charset val="204"/>
      <scheme val="minor"/>
    </font>
    <font>
      <sz val="12"/>
      <color theme="1"/>
      <name val="Times New Roman"/>
      <family val="1"/>
      <charset val="204"/>
    </font>
    <font>
      <b/>
      <sz val="12"/>
      <color theme="1"/>
      <name val="Times New Roman"/>
      <family val="1"/>
      <charset val="204"/>
    </font>
    <font>
      <b/>
      <sz val="10"/>
      <color theme="1"/>
      <name val="Times New Roman"/>
      <family val="1"/>
      <charset val="204"/>
    </font>
    <font>
      <sz val="10"/>
      <color theme="1"/>
      <name val="Times New Roman"/>
      <family val="1"/>
      <charset val="204"/>
    </font>
    <font>
      <b/>
      <sz val="10"/>
      <name val="Times New Roman"/>
      <family val="1"/>
      <charset val="204"/>
    </font>
    <font>
      <sz val="12"/>
      <color rgb="FFFF0000"/>
      <name val="Times New Roman"/>
      <family val="1"/>
      <charset val="204"/>
    </font>
    <font>
      <sz val="10"/>
      <color rgb="FFFF0000"/>
      <name val="Calibri"/>
      <family val="2"/>
      <charset val="204"/>
      <scheme val="minor"/>
    </font>
    <font>
      <sz val="10"/>
      <color rgb="FFFF0000"/>
      <name val="Calibri"/>
      <family val="2"/>
      <charset val="204"/>
    </font>
    <font>
      <sz val="9"/>
      <color theme="1"/>
      <name val="Times New Roman"/>
      <family val="1"/>
      <charset val="204"/>
    </font>
    <font>
      <sz val="12"/>
      <name val="Arial"/>
      <family val="2"/>
      <charset val="204"/>
    </font>
    <font>
      <sz val="12"/>
      <color indexed="8"/>
      <name val="Times New Roman"/>
      <family val="1"/>
      <charset val="204"/>
    </font>
    <font>
      <sz val="10"/>
      <color indexed="8"/>
      <name val="Times New Roman"/>
      <family val="1"/>
      <charset val="204"/>
    </font>
    <font>
      <b/>
      <sz val="12"/>
      <color indexed="8"/>
      <name val="Times New Roman"/>
      <family val="1"/>
      <charset val="204"/>
    </font>
    <font>
      <b/>
      <sz val="10"/>
      <color indexed="8"/>
      <name val="Times New Roman"/>
      <family val="1"/>
      <charset val="204"/>
    </font>
    <font>
      <sz val="10"/>
      <name val="Arial"/>
      <family val="2"/>
      <charset val="204"/>
    </font>
    <font>
      <sz val="10"/>
      <color theme="1"/>
      <name val="Arial"/>
      <family val="2"/>
      <charset val="204"/>
    </font>
    <font>
      <sz val="13"/>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164" fontId="4" fillId="0" borderId="0" applyFont="0" applyFill="0" applyBorder="0" applyAlignment="0" applyProtection="0"/>
  </cellStyleXfs>
  <cellXfs count="198">
    <xf numFmtId="0" fontId="0" fillId="0" borderId="0" xfId="0"/>
    <xf numFmtId="166" fontId="15" fillId="2" borderId="1" xfId="0" applyNumberFormat="1" applyFont="1" applyFill="1" applyBorder="1" applyAlignment="1">
      <alignment horizontal="center" vertical="center" wrapText="1"/>
    </xf>
    <xf numFmtId="165" fontId="7" fillId="2" borderId="1" xfId="1" applyNumberFormat="1" applyFont="1" applyFill="1" applyBorder="1" applyAlignment="1">
      <alignment vertical="center" wrapText="1"/>
    </xf>
    <xf numFmtId="0" fontId="10" fillId="2" borderId="0" xfId="0" applyFont="1" applyFill="1"/>
    <xf numFmtId="0" fontId="10" fillId="2" borderId="0" xfId="0" applyFont="1" applyFill="1" applyBorder="1"/>
    <xf numFmtId="0" fontId="1" fillId="2" borderId="0" xfId="0" applyFont="1" applyFill="1" applyBorder="1" applyAlignment="1">
      <alignment vertical="top"/>
    </xf>
    <xf numFmtId="0" fontId="1" fillId="2" borderId="0" xfId="0" applyFont="1" applyFill="1" applyBorder="1" applyAlignment="1">
      <alignment horizontal="left" vertical="top"/>
    </xf>
    <xf numFmtId="0" fontId="1" fillId="2" borderId="0" xfId="0" applyFont="1" applyFill="1" applyBorder="1"/>
    <xf numFmtId="3" fontId="1" fillId="2" borderId="0" xfId="0" applyNumberFormat="1" applyFont="1" applyFill="1" applyBorder="1" applyAlignment="1">
      <alignment vertical="center"/>
    </xf>
    <xf numFmtId="3" fontId="1" fillId="2" borderId="0" xfId="0" applyNumberFormat="1" applyFont="1" applyFill="1" applyBorder="1" applyAlignment="1"/>
    <xf numFmtId="0" fontId="10" fillId="2" borderId="0" xfId="0" applyFont="1" applyFill="1" applyAlignment="1">
      <alignment vertical="center" wrapText="1"/>
    </xf>
    <xf numFmtId="3" fontId="1"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top" wrapText="1"/>
    </xf>
    <xf numFmtId="0" fontId="8" fillId="2" borderId="0" xfId="0" applyFont="1" applyFill="1" applyAlignment="1">
      <alignment vertical="center" wrapText="1"/>
    </xf>
    <xf numFmtId="0" fontId="5" fillId="2" borderId="1" xfId="0" applyFont="1" applyFill="1" applyBorder="1" applyAlignment="1">
      <alignment horizontal="left" vertical="center" wrapText="1"/>
    </xf>
    <xf numFmtId="166" fontId="15" fillId="2" borderId="1" xfId="0" applyNumberFormat="1" applyFont="1" applyFill="1" applyBorder="1" applyAlignment="1">
      <alignment vertical="center" wrapText="1"/>
    </xf>
    <xf numFmtId="0" fontId="3" fillId="2" borderId="0" xfId="0" applyFont="1" applyFill="1"/>
    <xf numFmtId="0" fontId="1" fillId="2" borderId="1" xfId="0" applyFont="1" applyFill="1" applyBorder="1" applyAlignment="1">
      <alignment horizontal="left" vertical="center" wrapText="1"/>
    </xf>
    <xf numFmtId="166" fontId="7" fillId="2" borderId="1" xfId="0" applyNumberFormat="1" applyFont="1" applyFill="1" applyBorder="1" applyAlignment="1">
      <alignment vertical="center" wrapText="1"/>
    </xf>
    <xf numFmtId="166" fontId="7" fillId="2" borderId="1" xfId="1"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4" fontId="5" fillId="2" borderId="1" xfId="1" applyFont="1" applyFill="1" applyBorder="1" applyAlignment="1">
      <alignment horizontal="left" vertical="center" wrapText="1"/>
    </xf>
    <xf numFmtId="164" fontId="1" fillId="2" borderId="1" xfId="1" applyFont="1" applyFill="1" applyBorder="1" applyAlignment="1">
      <alignment horizontal="left" vertical="center" wrapText="1"/>
    </xf>
    <xf numFmtId="166" fontId="7" fillId="2" borderId="1" xfId="1" applyNumberFormat="1" applyFont="1" applyFill="1" applyBorder="1" applyAlignment="1">
      <alignment vertical="center" wrapText="1"/>
    </xf>
    <xf numFmtId="166" fontId="14" fillId="2" borderId="1" xfId="1" applyNumberFormat="1" applyFont="1" applyFill="1" applyBorder="1" applyAlignment="1">
      <alignment vertical="center" wrapText="1"/>
    </xf>
    <xf numFmtId="166" fontId="10" fillId="2" borderId="0" xfId="0" applyNumberFormat="1" applyFont="1" applyFill="1"/>
    <xf numFmtId="166" fontId="14" fillId="2" borderId="1" xfId="1" applyNumberFormat="1" applyFont="1" applyFill="1" applyBorder="1" applyAlignment="1">
      <alignment horizontal="center" vertical="center" wrapText="1"/>
    </xf>
    <xf numFmtId="166" fontId="7" fillId="2" borderId="1" xfId="1" applyNumberFormat="1" applyFont="1" applyFill="1" applyBorder="1" applyAlignment="1">
      <alignment horizontal="right" vertical="center" wrapText="1"/>
    </xf>
    <xf numFmtId="164" fontId="7" fillId="2" borderId="1" xfId="1" applyNumberFormat="1" applyFont="1" applyFill="1" applyBorder="1" applyAlignment="1">
      <alignment vertical="center" wrapText="1"/>
    </xf>
    <xf numFmtId="164" fontId="7" fillId="2" borderId="1" xfId="1" applyNumberFormat="1" applyFont="1" applyFill="1" applyBorder="1" applyAlignment="1">
      <alignment horizontal="center" vertical="center" wrapText="1"/>
    </xf>
    <xf numFmtId="166" fontId="7" fillId="2" borderId="1" xfId="0" applyNumberFormat="1" applyFont="1" applyFill="1" applyBorder="1" applyAlignment="1">
      <alignment horizontal="right" vertical="center" wrapText="1"/>
    </xf>
    <xf numFmtId="166" fontId="14" fillId="2" borderId="1" xfId="0" applyNumberFormat="1" applyFont="1" applyFill="1" applyBorder="1" applyAlignment="1">
      <alignment vertical="center" wrapText="1"/>
    </xf>
    <xf numFmtId="166" fontId="13" fillId="2" borderId="1" xfId="0" applyNumberFormat="1" applyFont="1" applyFill="1" applyBorder="1" applyAlignment="1">
      <alignment vertical="center" wrapText="1"/>
    </xf>
    <xf numFmtId="164" fontId="7" fillId="2" borderId="1" xfId="0" applyNumberFormat="1" applyFont="1" applyFill="1" applyBorder="1" applyAlignment="1">
      <alignment vertical="center" wrapText="1"/>
    </xf>
    <xf numFmtId="169" fontId="7" fillId="2" borderId="1" xfId="0" applyNumberFormat="1" applyFont="1" applyFill="1" applyBorder="1" applyAlignment="1">
      <alignment vertical="center" wrapText="1"/>
    </xf>
    <xf numFmtId="165" fontId="7" fillId="2" borderId="1" xfId="0" applyNumberFormat="1" applyFont="1" applyFill="1" applyBorder="1" applyAlignment="1">
      <alignment vertical="center" wrapText="1"/>
    </xf>
    <xf numFmtId="0" fontId="1" fillId="2" borderId="1" xfId="0" applyFont="1" applyFill="1" applyBorder="1" applyAlignment="1">
      <alignment horizontal="center" vertical="top" wrapText="1"/>
    </xf>
    <xf numFmtId="0" fontId="11" fillId="2" borderId="1" xfId="0" applyFont="1" applyFill="1" applyBorder="1" applyAlignment="1">
      <alignment horizontal="center" vertical="top" wrapText="1"/>
    </xf>
    <xf numFmtId="0" fontId="11"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168" fontId="10" fillId="2" borderId="0" xfId="0" applyNumberFormat="1" applyFont="1" applyFill="1"/>
    <xf numFmtId="165" fontId="14" fillId="2" borderId="1" xfId="0" applyNumberFormat="1" applyFont="1" applyFill="1" applyBorder="1" applyAlignment="1">
      <alignment vertical="center" wrapText="1"/>
    </xf>
    <xf numFmtId="164" fontId="14" fillId="2" borderId="1" xfId="0" applyNumberFormat="1" applyFont="1" applyFill="1" applyBorder="1" applyAlignment="1">
      <alignment vertical="center" wrapText="1"/>
    </xf>
    <xf numFmtId="0" fontId="6" fillId="2" borderId="0" xfId="0" applyFont="1" applyFill="1" applyAlignment="1">
      <alignment vertical="top"/>
    </xf>
    <xf numFmtId="0" fontId="6" fillId="2" borderId="0" xfId="0" applyFont="1" applyFill="1" applyAlignment="1">
      <alignment horizontal="left" vertical="top"/>
    </xf>
    <xf numFmtId="0" fontId="6" fillId="2" borderId="0" xfId="0" applyFont="1" applyFill="1"/>
    <xf numFmtId="167" fontId="8" fillId="2" borderId="0" xfId="0" applyNumberFormat="1" applyFont="1" applyFill="1" applyAlignment="1">
      <alignment vertical="center"/>
    </xf>
    <xf numFmtId="3" fontId="8" fillId="2" borderId="0" xfId="0" applyNumberFormat="1" applyFont="1" applyFill="1" applyAlignment="1">
      <alignment vertical="center"/>
    </xf>
    <xf numFmtId="3" fontId="9" fillId="2" borderId="0" xfId="0" applyNumberFormat="1" applyFont="1" applyFill="1" applyAlignment="1"/>
    <xf numFmtId="0" fontId="11" fillId="2" borderId="1" xfId="0" applyFont="1" applyFill="1" applyBorder="1" applyAlignment="1">
      <alignment horizontal="left" vertical="top" wrapText="1"/>
    </xf>
    <xf numFmtId="3" fontId="1" fillId="2" borderId="1" xfId="0" applyNumberFormat="1" applyFont="1" applyFill="1" applyBorder="1" applyAlignment="1">
      <alignment horizontal="center" vertical="center" wrapText="1"/>
    </xf>
    <xf numFmtId="0" fontId="11" fillId="0" borderId="0" xfId="0" applyFont="1" applyAlignment="1">
      <alignment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0" xfId="0" applyFont="1" applyAlignment="1">
      <alignment vertical="center" wrapText="1"/>
    </xf>
    <xf numFmtId="0" fontId="11" fillId="0" borderId="1" xfId="0" applyFont="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vertical="top" wrapText="1"/>
    </xf>
    <xf numFmtId="0" fontId="1" fillId="0" borderId="1" xfId="0" applyFont="1" applyBorder="1" applyAlignment="1">
      <alignment horizontal="left" vertical="top" wrapText="1"/>
    </xf>
    <xf numFmtId="0" fontId="19" fillId="0" borderId="0" xfId="0" applyFont="1" applyAlignment="1">
      <alignment horizontal="center" vertical="center"/>
    </xf>
    <xf numFmtId="0" fontId="11" fillId="0" borderId="0" xfId="0" applyFont="1" applyAlignment="1">
      <alignment horizontal="center" vertical="center" wrapText="1"/>
    </xf>
    <xf numFmtId="0" fontId="11" fillId="2" borderId="1" xfId="0" applyFont="1" applyFill="1" applyBorder="1" applyAlignment="1">
      <alignment vertical="top" wrapText="1"/>
    </xf>
    <xf numFmtId="0" fontId="20" fillId="0" borderId="0" xfId="0" applyFont="1"/>
    <xf numFmtId="3" fontId="1" fillId="0" borderId="1"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166" fontId="15" fillId="0" borderId="1" xfId="0" applyNumberFormat="1" applyFont="1" applyBorder="1" applyAlignment="1">
      <alignment horizontal="right" vertical="center" wrapText="1"/>
    </xf>
    <xf numFmtId="166" fontId="22" fillId="0" borderId="1" xfId="0" applyNumberFormat="1" applyFont="1" applyBorder="1" applyAlignment="1">
      <alignment horizontal="right" vertical="center" wrapText="1"/>
    </xf>
    <xf numFmtId="166" fontId="22" fillId="0" borderId="7" xfId="0" applyNumberFormat="1" applyFont="1" applyBorder="1" applyAlignment="1">
      <alignment horizontal="right" vertical="center" wrapText="1"/>
    </xf>
    <xf numFmtId="1" fontId="1" fillId="0" borderId="1" xfId="0" applyNumberFormat="1" applyFont="1" applyBorder="1" applyAlignment="1">
      <alignment horizontal="left" vertical="center" wrapText="1"/>
    </xf>
    <xf numFmtId="166" fontId="7" fillId="0" borderId="1" xfId="0" applyNumberFormat="1" applyFont="1" applyBorder="1" applyAlignment="1">
      <alignment vertical="center" wrapText="1"/>
    </xf>
    <xf numFmtId="3" fontId="1" fillId="0" borderId="1" xfId="0" applyNumberFormat="1" applyFont="1" applyBorder="1" applyAlignment="1">
      <alignment horizontal="left" vertical="center" wrapText="1"/>
    </xf>
    <xf numFmtId="166" fontId="7" fillId="0" borderId="1" xfId="0" applyNumberFormat="1" applyFont="1" applyBorder="1" applyAlignment="1">
      <alignment horizontal="right" vertical="center" wrapText="1"/>
    </xf>
    <xf numFmtId="0" fontId="23" fillId="0" borderId="1" xfId="0" applyFont="1" applyBorder="1" applyAlignment="1">
      <alignment horizontal="left" vertical="center" wrapText="1"/>
    </xf>
    <xf numFmtId="166" fontId="7" fillId="0" borderId="7" xfId="0" applyNumberFormat="1" applyFont="1" applyBorder="1" applyAlignment="1">
      <alignment horizontal="right" vertical="center" wrapText="1"/>
    </xf>
    <xf numFmtId="166" fontId="24" fillId="0" borderId="1" xfId="0" applyNumberFormat="1" applyFont="1" applyBorder="1" applyAlignment="1">
      <alignment horizontal="right"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166" fontId="22" fillId="0" borderId="0" xfId="0" applyNumberFormat="1" applyFont="1" applyAlignment="1">
      <alignment horizontal="center" vertical="center" wrapText="1"/>
    </xf>
    <xf numFmtId="171" fontId="1" fillId="0" borderId="0" xfId="0" applyNumberFormat="1" applyFont="1" applyAlignment="1">
      <alignment horizontal="center" vertical="center" wrapText="1"/>
    </xf>
    <xf numFmtId="3" fontId="1" fillId="0" borderId="0" xfId="0" applyNumberFormat="1" applyFont="1" applyAlignment="1">
      <alignment horizontal="left" vertical="center" wrapText="1"/>
    </xf>
    <xf numFmtId="166" fontId="22" fillId="0" borderId="0" xfId="0" applyNumberFormat="1" applyFont="1" applyAlignment="1">
      <alignment horizontal="right" vertical="center" wrapText="1"/>
    </xf>
    <xf numFmtId="0" fontId="20" fillId="0" borderId="0" xfId="0" applyFont="1" applyAlignment="1">
      <alignment horizontal="center"/>
    </xf>
    <xf numFmtId="0" fontId="1" fillId="0" borderId="0" xfId="0" applyFont="1"/>
    <xf numFmtId="2" fontId="1"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1" fontId="25" fillId="0" borderId="0" xfId="0" applyNumberFormat="1" applyFont="1"/>
    <xf numFmtId="0" fontId="21" fillId="0" borderId="1" xfId="0" applyFont="1" applyBorder="1" applyAlignment="1">
      <alignment horizontal="center" vertical="center" wrapText="1"/>
    </xf>
    <xf numFmtId="0" fontId="25" fillId="0" borderId="0" xfId="0" applyFont="1" applyAlignment="1">
      <alignment vertical="center"/>
    </xf>
    <xf numFmtId="1" fontId="11" fillId="0" borderId="1" xfId="0" applyNumberFormat="1" applyFont="1" applyBorder="1" applyAlignment="1">
      <alignment horizontal="center" vertical="center" wrapText="1"/>
    </xf>
    <xf numFmtId="0" fontId="26" fillId="0" borderId="0" xfId="0" applyFont="1" applyAlignment="1">
      <alignment vertical="center"/>
    </xf>
    <xf numFmtId="3" fontId="1" fillId="0" borderId="1" xfId="0" applyNumberFormat="1" applyFont="1" applyFill="1" applyBorder="1" applyAlignment="1">
      <alignment horizontal="left" vertical="center" wrapText="1"/>
    </xf>
    <xf numFmtId="3" fontId="1"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left" vertical="center" wrapText="1"/>
    </xf>
    <xf numFmtId="0" fontId="20" fillId="0" borderId="0" xfId="0" applyFont="1" applyFill="1"/>
    <xf numFmtId="0" fontId="1" fillId="0" borderId="1" xfId="0" applyFont="1" applyBorder="1" applyAlignment="1">
      <alignment horizontal="center" vertical="center" wrapText="1"/>
    </xf>
    <xf numFmtId="172" fontId="1" fillId="0" borderId="1" xfId="0" applyNumberFormat="1" applyFont="1" applyBorder="1" applyAlignment="1">
      <alignment horizontal="center" vertical="center" wrapText="1"/>
    </xf>
    <xf numFmtId="0" fontId="1" fillId="0" borderId="0" xfId="0" applyFont="1" applyAlignment="1">
      <alignment vertical="center"/>
    </xf>
    <xf numFmtId="0" fontId="1" fillId="0" borderId="1" xfId="0" applyFont="1" applyBorder="1" applyAlignment="1">
      <alignment vertical="center" wrapText="1"/>
    </xf>
    <xf numFmtId="0" fontId="1" fillId="0" borderId="1" xfId="0" applyFont="1" applyBorder="1" applyAlignment="1">
      <alignment horizontal="center" vertical="center"/>
    </xf>
    <xf numFmtId="0" fontId="2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vertical="center" wrapText="1"/>
    </xf>
    <xf numFmtId="172" fontId="1" fillId="2" borderId="1" xfId="0" applyNumberFormat="1" applyFont="1" applyFill="1" applyBorder="1" applyAlignment="1">
      <alignment horizontal="center" vertical="center" wrapText="1"/>
    </xf>
    <xf numFmtId="0" fontId="27" fillId="2" borderId="0" xfId="0" applyFont="1" applyFill="1"/>
    <xf numFmtId="0" fontId="0" fillId="2" borderId="0" xfId="0" applyFill="1"/>
    <xf numFmtId="173" fontId="1" fillId="0" borderId="1" xfId="0" applyNumberFormat="1" applyFont="1" applyBorder="1" applyAlignment="1">
      <alignment wrapText="1"/>
    </xf>
    <xf numFmtId="172" fontId="1" fillId="0" borderId="1" xfId="0" applyNumberFormat="1" applyFont="1" applyBorder="1" applyAlignment="1">
      <alignment horizontal="center" vertical="center"/>
    </xf>
    <xf numFmtId="49" fontId="1" fillId="0" borderId="1" xfId="0" applyNumberFormat="1" applyFont="1" applyBorder="1" applyAlignment="1">
      <alignment wrapText="1"/>
    </xf>
    <xf numFmtId="0" fontId="0" fillId="0" borderId="0" xfId="0" applyAlignment="1">
      <alignment vertical="center"/>
    </xf>
    <xf numFmtId="3" fontId="16" fillId="0" borderId="0" xfId="0" applyNumberFormat="1" applyFont="1" applyFill="1" applyBorder="1" applyAlignment="1"/>
    <xf numFmtId="0" fontId="7" fillId="0" borderId="1" xfId="0" applyFont="1" applyFill="1" applyBorder="1" applyAlignment="1">
      <alignment horizontal="center" vertical="top" wrapText="1"/>
    </xf>
    <xf numFmtId="166" fontId="15" fillId="0" borderId="1" xfId="0" applyNumberFormat="1" applyFont="1" applyFill="1" applyBorder="1" applyAlignment="1">
      <alignment horizontal="center" vertical="center" wrapText="1"/>
    </xf>
    <xf numFmtId="166" fontId="7" fillId="0" borderId="1" xfId="1" applyNumberFormat="1" applyFont="1" applyFill="1" applyBorder="1" applyAlignment="1">
      <alignment horizontal="center" vertical="center" wrapText="1"/>
    </xf>
    <xf numFmtId="166" fontId="7" fillId="0" borderId="1" xfId="0" applyNumberFormat="1" applyFont="1" applyFill="1" applyBorder="1" applyAlignment="1">
      <alignment horizontal="center" vertical="center" wrapText="1"/>
    </xf>
    <xf numFmtId="166" fontId="7" fillId="0" borderId="1" xfId="1" applyNumberFormat="1" applyFont="1" applyFill="1" applyBorder="1" applyAlignment="1">
      <alignment vertical="center" wrapText="1"/>
    </xf>
    <xf numFmtId="166" fontId="7" fillId="0" borderId="1" xfId="1" applyNumberFormat="1" applyFont="1" applyFill="1" applyBorder="1" applyAlignment="1">
      <alignment horizontal="right" vertical="center" wrapText="1"/>
    </xf>
    <xf numFmtId="165" fontId="7" fillId="0" borderId="1" xfId="1" applyNumberFormat="1" applyFont="1" applyFill="1" applyBorder="1" applyAlignment="1">
      <alignment vertical="center" wrapText="1"/>
    </xf>
    <xf numFmtId="166" fontId="7" fillId="0" borderId="1" xfId="0" applyNumberFormat="1" applyFont="1" applyFill="1" applyBorder="1" applyAlignment="1">
      <alignment horizontal="right" vertical="center" wrapText="1"/>
    </xf>
    <xf numFmtId="166" fontId="7" fillId="0" borderId="1" xfId="0" applyNumberFormat="1" applyFont="1" applyFill="1" applyBorder="1" applyAlignment="1">
      <alignment vertical="center" wrapText="1"/>
    </xf>
    <xf numFmtId="166" fontId="15" fillId="0" borderId="1" xfId="0" applyNumberFormat="1" applyFont="1" applyFill="1" applyBorder="1" applyAlignment="1">
      <alignment vertical="center" wrapText="1"/>
    </xf>
    <xf numFmtId="164" fontId="7" fillId="0" borderId="1" xfId="0" applyNumberFormat="1" applyFont="1" applyFill="1" applyBorder="1" applyAlignment="1">
      <alignment vertical="center" wrapText="1"/>
    </xf>
    <xf numFmtId="165" fontId="7" fillId="0" borderId="1" xfId="0" applyNumberFormat="1" applyFont="1" applyFill="1" applyBorder="1" applyAlignment="1">
      <alignment vertical="center" wrapText="1"/>
    </xf>
    <xf numFmtId="167" fontId="17" fillId="0" borderId="0" xfId="0" applyNumberFormat="1" applyFont="1" applyFill="1" applyAlignment="1">
      <alignment vertical="center"/>
    </xf>
    <xf numFmtId="3" fontId="18" fillId="0" borderId="0" xfId="0" applyNumberFormat="1" applyFont="1" applyFill="1" applyAlignment="1"/>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1" fontId="1" fillId="2" borderId="1" xfId="0" applyNumberFormat="1" applyFont="1" applyFill="1" applyBorder="1" applyAlignment="1">
      <alignment horizontal="center" vertical="top" wrapText="1"/>
    </xf>
    <xf numFmtId="0" fontId="1" fillId="2" borderId="0" xfId="0" applyFont="1" applyFill="1" applyAlignment="1">
      <alignment horizontal="right" vertical="top"/>
    </xf>
    <xf numFmtId="0" fontId="5" fillId="2" borderId="0" xfId="0" applyFont="1" applyFill="1" applyBorder="1" applyAlignment="1">
      <alignment horizontal="center"/>
    </xf>
    <xf numFmtId="164" fontId="1" fillId="2" borderId="1" xfId="1" applyFont="1" applyFill="1" applyBorder="1" applyAlignment="1">
      <alignment horizontal="left" vertical="top" wrapText="1"/>
    </xf>
    <xf numFmtId="0" fontId="1" fillId="2" borderId="1"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164" fontId="1" fillId="2" borderId="1" xfId="1" applyFont="1" applyFill="1" applyBorder="1" applyAlignment="1">
      <alignment horizontal="center" vertical="top" wrapText="1"/>
    </xf>
    <xf numFmtId="0" fontId="5" fillId="2" borderId="1" xfId="0" applyFont="1" applyFill="1" applyBorder="1" applyAlignment="1">
      <alignment horizontal="center" vertical="center" wrapText="1"/>
    </xf>
    <xf numFmtId="16" fontId="1" fillId="2" borderId="1" xfId="0" applyNumberFormat="1" applyFont="1" applyFill="1" applyBorder="1" applyAlignment="1">
      <alignment horizontal="center" vertical="top" wrapText="1"/>
    </xf>
    <xf numFmtId="49" fontId="1" fillId="2" borderId="1" xfId="1" applyNumberFormat="1" applyFont="1" applyFill="1" applyBorder="1" applyAlignment="1">
      <alignment horizontal="left" vertical="top" wrapText="1"/>
    </xf>
    <xf numFmtId="164" fontId="1" fillId="2" borderId="2" xfId="1" applyFont="1" applyFill="1" applyBorder="1" applyAlignment="1">
      <alignment horizontal="left" vertical="top" wrapText="1"/>
    </xf>
    <xf numFmtId="164" fontId="1" fillId="2" borderId="3" xfId="1" applyFont="1" applyFill="1" applyBorder="1" applyAlignment="1">
      <alignment horizontal="left" vertical="top" wrapText="1"/>
    </xf>
    <xf numFmtId="164" fontId="1" fillId="2" borderId="4" xfId="1" applyFont="1" applyFill="1" applyBorder="1" applyAlignment="1">
      <alignment horizontal="left" vertical="top" wrapText="1"/>
    </xf>
    <xf numFmtId="164" fontId="1" fillId="2" borderId="2" xfId="1" applyFont="1" applyFill="1" applyBorder="1" applyAlignment="1">
      <alignment horizontal="center" vertical="top" wrapText="1"/>
    </xf>
    <xf numFmtId="164" fontId="1" fillId="2" borderId="3" xfId="1" applyFont="1" applyFill="1" applyBorder="1" applyAlignment="1">
      <alignment horizontal="center" vertical="top" wrapText="1"/>
    </xf>
    <xf numFmtId="164" fontId="1" fillId="2" borderId="4" xfId="1" applyFont="1" applyFill="1" applyBorder="1" applyAlignment="1">
      <alignment horizontal="center" vertical="top" wrapText="1"/>
    </xf>
    <xf numFmtId="0" fontId="11" fillId="2" borderId="1" xfId="0" applyFont="1" applyFill="1" applyBorder="1" applyAlignment="1">
      <alignment horizontal="left" vertical="top" wrapText="1"/>
    </xf>
    <xf numFmtId="0" fontId="11" fillId="2" borderId="1" xfId="0" applyFont="1" applyFill="1" applyBorder="1" applyAlignment="1">
      <alignment horizontal="center" vertical="top" wrapText="1"/>
    </xf>
    <xf numFmtId="164" fontId="5" fillId="2" borderId="1" xfId="1" applyFont="1" applyFill="1" applyBorder="1" applyAlignment="1">
      <alignment horizontal="center" vertical="center" wrapText="1"/>
    </xf>
    <xf numFmtId="0" fontId="5" fillId="2" borderId="1" xfId="0" applyFont="1" applyFill="1" applyBorder="1" applyAlignment="1">
      <alignment horizontal="left" vertical="top" wrapText="1"/>
    </xf>
    <xf numFmtId="0" fontId="5" fillId="2" borderId="1" xfId="0" applyFont="1" applyFill="1" applyBorder="1" applyAlignment="1">
      <alignment horizontal="center" vertical="top" wrapText="1"/>
    </xf>
    <xf numFmtId="0" fontId="11" fillId="0" borderId="1" xfId="0" applyFont="1" applyBorder="1" applyAlignment="1">
      <alignment horizontal="center" vertical="top" wrapText="1"/>
    </xf>
    <xf numFmtId="0" fontId="11" fillId="0" borderId="1" xfId="0" applyFont="1" applyBorder="1" applyAlignment="1">
      <alignment horizontal="left" vertical="top" wrapText="1"/>
    </xf>
    <xf numFmtId="0" fontId="11" fillId="0" borderId="0" xfId="0" applyFont="1" applyAlignment="1">
      <alignment horizontal="right" vertical="center" wrapText="1"/>
    </xf>
    <xf numFmtId="0" fontId="12" fillId="0" borderId="0" xfId="0" applyFont="1" applyAlignment="1">
      <alignment horizontal="center" vertical="center" wrapText="1"/>
    </xf>
    <xf numFmtId="0" fontId="11" fillId="0" borderId="1" xfId="0" applyFont="1" applyBorder="1" applyAlignment="1">
      <alignment horizontal="center" vertical="center" wrapText="1"/>
    </xf>
    <xf numFmtId="0" fontId="1" fillId="0" borderId="0" xfId="0" applyFont="1" applyAlignment="1">
      <alignment horizontal="right"/>
    </xf>
    <xf numFmtId="0" fontId="5" fillId="0" borderId="0" xfId="0" applyFont="1" applyAlignment="1">
      <alignment horizontal="center"/>
    </xf>
    <xf numFmtId="0" fontId="1" fillId="0" borderId="0" xfId="0" applyFont="1" applyAlignment="1">
      <alignment horizontal="center" vertical="center" wrapText="1"/>
    </xf>
    <xf numFmtId="2" fontId="1" fillId="0" borderId="2"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0" fontId="5"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0" xfId="0" applyFont="1" applyAlignment="1">
      <alignment horizontal="left"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3" fontId="1" fillId="0" borderId="2" xfId="0" applyNumberFormat="1" applyFont="1" applyBorder="1" applyAlignment="1">
      <alignment horizontal="left" vertical="center" wrapText="1"/>
    </xf>
    <xf numFmtId="3" fontId="1" fillId="0" borderId="3" xfId="0" applyNumberFormat="1" applyFont="1" applyBorder="1" applyAlignment="1">
      <alignment horizontal="left" vertical="center" wrapText="1"/>
    </xf>
    <xf numFmtId="3" fontId="1" fillId="0" borderId="4" xfId="0" applyNumberFormat="1" applyFont="1" applyBorder="1" applyAlignment="1">
      <alignment horizontal="left" vertical="center" wrapText="1"/>
    </xf>
    <xf numFmtId="166" fontId="22" fillId="0" borderId="2" xfId="0" applyNumberFormat="1" applyFont="1" applyBorder="1" applyAlignment="1">
      <alignment horizontal="center" vertical="center" wrapText="1"/>
    </xf>
    <xf numFmtId="166" fontId="22" fillId="0" borderId="3" xfId="0" applyNumberFormat="1" applyFont="1" applyBorder="1" applyAlignment="1">
      <alignment horizontal="center" vertical="center" wrapText="1"/>
    </xf>
    <xf numFmtId="166" fontId="22" fillId="0" borderId="4"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3" fontId="1" fillId="0" borderId="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2" borderId="2" xfId="0" applyNumberFormat="1" applyFont="1" applyFill="1" applyBorder="1" applyAlignment="1">
      <alignment horizontal="center" vertical="center" wrapText="1"/>
    </xf>
    <xf numFmtId="3" fontId="1" fillId="2" borderId="3" xfId="0" applyNumberFormat="1" applyFont="1" applyFill="1" applyBorder="1" applyAlignment="1">
      <alignment horizontal="center" vertical="center" wrapText="1"/>
    </xf>
    <xf numFmtId="3" fontId="1" fillId="2" borderId="4" xfId="0" applyNumberFormat="1" applyFont="1" applyFill="1" applyBorder="1" applyAlignment="1">
      <alignment horizontal="center" vertical="center" wrapText="1"/>
    </xf>
    <xf numFmtId="170" fontId="1" fillId="0" borderId="2" xfId="0" applyNumberFormat="1" applyFont="1" applyBorder="1" applyAlignment="1">
      <alignment horizontal="center" vertical="center" wrapText="1"/>
    </xf>
    <xf numFmtId="170" fontId="1" fillId="0" borderId="3" xfId="0" applyNumberFormat="1" applyFont="1" applyBorder="1" applyAlignment="1">
      <alignment horizontal="center" vertical="center" wrapText="1"/>
    </xf>
    <xf numFmtId="170" fontId="1" fillId="0" borderId="4"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center" vertical="center" wrapText="1"/>
    </xf>
    <xf numFmtId="2" fontId="1" fillId="0" borderId="7"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89"/>
  <sheetViews>
    <sheetView view="pageBreakPreview" zoomScaleSheetLayoutView="100" workbookViewId="0">
      <pane xSplit="4" ySplit="7" topLeftCell="E284" activePane="bottomRight" state="frozen"/>
      <selection pane="topRight" activeCell="E1" sqref="E1"/>
      <selection pane="bottomLeft" activeCell="A7" sqref="A7"/>
      <selection pane="bottomRight" activeCell="G197" sqref="G197:G202"/>
    </sheetView>
  </sheetViews>
  <sheetFormatPr defaultRowHeight="15.75" x14ac:dyDescent="0.25"/>
  <cols>
    <col min="1" max="1" width="12.42578125" style="43" customWidth="1"/>
    <col min="2" max="2" width="27.28515625" style="44" customWidth="1"/>
    <col min="3" max="3" width="24" style="43" customWidth="1"/>
    <col min="4" max="4" width="27.140625" style="45" customWidth="1"/>
    <col min="5" max="5" width="24.42578125" style="47" bestFit="1" customWidth="1"/>
    <col min="6" max="6" width="22.85546875" style="48" bestFit="1" customWidth="1"/>
    <col min="7" max="7" width="22.85546875" style="126" bestFit="1" customWidth="1"/>
    <col min="8" max="8" width="21.42578125" style="48" customWidth="1"/>
    <col min="9" max="9" width="22.140625" style="48" customWidth="1"/>
    <col min="10" max="10" width="24.42578125" style="48" bestFit="1" customWidth="1"/>
    <col min="11" max="11" width="23" style="3" customWidth="1"/>
    <col min="12" max="12" width="19.140625" style="3" customWidth="1"/>
    <col min="13" max="13" width="12.85546875" style="3" customWidth="1"/>
    <col min="14" max="16384" width="9.140625" style="3"/>
  </cols>
  <sheetData>
    <row r="1" spans="1:10" x14ac:dyDescent="0.25">
      <c r="A1" s="130" t="s">
        <v>0</v>
      </c>
      <c r="B1" s="130"/>
      <c r="C1" s="130"/>
      <c r="D1" s="130"/>
      <c r="E1" s="130"/>
      <c r="F1" s="130"/>
      <c r="G1" s="130"/>
      <c r="H1" s="130"/>
      <c r="I1" s="130"/>
      <c r="J1" s="130"/>
    </row>
    <row r="2" spans="1:10" s="4" customFormat="1" x14ac:dyDescent="0.25">
      <c r="A2" s="131" t="s">
        <v>36</v>
      </c>
      <c r="B2" s="131"/>
      <c r="C2" s="131"/>
      <c r="D2" s="131"/>
      <c r="E2" s="131"/>
      <c r="F2" s="131"/>
      <c r="G2" s="131"/>
      <c r="H2" s="131"/>
      <c r="I2" s="131"/>
      <c r="J2" s="131"/>
    </row>
    <row r="3" spans="1:10" s="4" customFormat="1" x14ac:dyDescent="0.25">
      <c r="A3" s="5"/>
      <c r="B3" s="6"/>
      <c r="C3" s="5"/>
      <c r="D3" s="7"/>
      <c r="E3" s="8"/>
      <c r="F3" s="9"/>
      <c r="G3" s="112"/>
      <c r="H3" s="9"/>
      <c r="I3" s="9"/>
      <c r="J3" s="9"/>
    </row>
    <row r="4" spans="1:10" s="10" customFormat="1" ht="15.75" customHeight="1" x14ac:dyDescent="0.25">
      <c r="A4" s="133" t="s">
        <v>37</v>
      </c>
      <c r="B4" s="133" t="s">
        <v>38</v>
      </c>
      <c r="C4" s="133" t="s">
        <v>1</v>
      </c>
      <c r="D4" s="133" t="s">
        <v>2</v>
      </c>
      <c r="E4" s="134" t="s">
        <v>39</v>
      </c>
      <c r="F4" s="134"/>
      <c r="G4" s="134"/>
      <c r="H4" s="134"/>
      <c r="I4" s="134"/>
      <c r="J4" s="134"/>
    </row>
    <row r="5" spans="1:10" s="10" customFormat="1" x14ac:dyDescent="0.25">
      <c r="A5" s="133"/>
      <c r="B5" s="133"/>
      <c r="C5" s="133"/>
      <c r="D5" s="133"/>
      <c r="E5" s="134" t="s">
        <v>34</v>
      </c>
      <c r="F5" s="134"/>
      <c r="G5" s="134"/>
      <c r="H5" s="134"/>
      <c r="I5" s="134"/>
      <c r="J5" s="134"/>
    </row>
    <row r="6" spans="1:10" s="10" customFormat="1" x14ac:dyDescent="0.25">
      <c r="A6" s="133"/>
      <c r="B6" s="133"/>
      <c r="C6" s="133"/>
      <c r="D6" s="133"/>
      <c r="E6" s="134" t="s">
        <v>3</v>
      </c>
      <c r="F6" s="134"/>
      <c r="G6" s="134"/>
      <c r="H6" s="134"/>
      <c r="I6" s="134"/>
      <c r="J6" s="134"/>
    </row>
    <row r="7" spans="1:10" s="10" customFormat="1" ht="56.25" customHeight="1" x14ac:dyDescent="0.25">
      <c r="A7" s="133"/>
      <c r="B7" s="133"/>
      <c r="C7" s="133"/>
      <c r="D7" s="133"/>
      <c r="E7" s="134"/>
      <c r="F7" s="11" t="s">
        <v>20</v>
      </c>
      <c r="G7" s="93" t="s">
        <v>21</v>
      </c>
      <c r="H7" s="11" t="s">
        <v>50</v>
      </c>
      <c r="I7" s="11" t="s">
        <v>66</v>
      </c>
      <c r="J7" s="11" t="s">
        <v>67</v>
      </c>
    </row>
    <row r="8" spans="1:10" s="13" customFormat="1" ht="12.75" x14ac:dyDescent="0.25">
      <c r="A8" s="12">
        <v>1</v>
      </c>
      <c r="B8" s="12">
        <v>2</v>
      </c>
      <c r="C8" s="12">
        <v>3</v>
      </c>
      <c r="D8" s="12">
        <v>4</v>
      </c>
      <c r="E8" s="12">
        <v>5</v>
      </c>
      <c r="F8" s="12">
        <v>6</v>
      </c>
      <c r="G8" s="113">
        <v>7</v>
      </c>
      <c r="H8" s="12">
        <v>8</v>
      </c>
      <c r="I8" s="12"/>
      <c r="J8" s="12">
        <v>9</v>
      </c>
    </row>
    <row r="9" spans="1:10" x14ac:dyDescent="0.25">
      <c r="A9" s="136" t="s">
        <v>22</v>
      </c>
      <c r="B9" s="136"/>
      <c r="C9" s="136"/>
      <c r="D9" s="136"/>
      <c r="E9" s="136"/>
      <c r="F9" s="136"/>
      <c r="G9" s="136"/>
      <c r="H9" s="136"/>
      <c r="I9" s="136"/>
      <c r="J9" s="136"/>
    </row>
    <row r="10" spans="1:10" s="16" customFormat="1" x14ac:dyDescent="0.25">
      <c r="A10" s="127" t="s">
        <v>23</v>
      </c>
      <c r="B10" s="128" t="s">
        <v>57</v>
      </c>
      <c r="C10" s="127" t="s">
        <v>78</v>
      </c>
      <c r="D10" s="14" t="s">
        <v>3</v>
      </c>
      <c r="E10" s="15">
        <f t="shared" ref="E10:E48" si="0">ROUND(SUM(F10:J10),5)</f>
        <v>0</v>
      </c>
      <c r="F10" s="1">
        <f t="shared" ref="F10:J10" si="1">ROUND(SUM(F11:F16),5)</f>
        <v>0</v>
      </c>
      <c r="G10" s="114">
        <f t="shared" si="1"/>
        <v>0</v>
      </c>
      <c r="H10" s="1">
        <f t="shared" ref="H10:I10" si="2">ROUND(SUM(H11:H16),5)</f>
        <v>0</v>
      </c>
      <c r="I10" s="1">
        <f t="shared" si="2"/>
        <v>0</v>
      </c>
      <c r="J10" s="1">
        <f t="shared" si="1"/>
        <v>0</v>
      </c>
    </row>
    <row r="11" spans="1:10" x14ac:dyDescent="0.25">
      <c r="A11" s="127"/>
      <c r="B11" s="128"/>
      <c r="C11" s="127"/>
      <c r="D11" s="17" t="s">
        <v>4</v>
      </c>
      <c r="E11" s="18">
        <f t="shared" si="0"/>
        <v>0</v>
      </c>
      <c r="F11" s="19">
        <v>0</v>
      </c>
      <c r="G11" s="115">
        <v>0</v>
      </c>
      <c r="H11" s="19">
        <v>0</v>
      </c>
      <c r="I11" s="19">
        <v>0</v>
      </c>
      <c r="J11" s="19">
        <v>0</v>
      </c>
    </row>
    <row r="12" spans="1:10" ht="31.5" x14ac:dyDescent="0.25">
      <c r="A12" s="127"/>
      <c r="B12" s="128"/>
      <c r="C12" s="127"/>
      <c r="D12" s="17" t="s">
        <v>5</v>
      </c>
      <c r="E12" s="18">
        <f t="shared" si="0"/>
        <v>0</v>
      </c>
      <c r="F12" s="19">
        <v>0</v>
      </c>
      <c r="G12" s="115">
        <v>0</v>
      </c>
      <c r="H12" s="19">
        <v>0</v>
      </c>
      <c r="I12" s="19">
        <v>0</v>
      </c>
      <c r="J12" s="19">
        <v>0</v>
      </c>
    </row>
    <row r="13" spans="1:10" x14ac:dyDescent="0.25">
      <c r="A13" s="127"/>
      <c r="B13" s="128"/>
      <c r="C13" s="127"/>
      <c r="D13" s="17" t="s">
        <v>6</v>
      </c>
      <c r="E13" s="18">
        <f t="shared" si="0"/>
        <v>0</v>
      </c>
      <c r="F13" s="20">
        <v>0</v>
      </c>
      <c r="G13" s="116">
        <v>0</v>
      </c>
      <c r="H13" s="20">
        <v>0</v>
      </c>
      <c r="I13" s="20">
        <v>0</v>
      </c>
      <c r="J13" s="20">
        <v>0</v>
      </c>
    </row>
    <row r="14" spans="1:10" ht="31.5" x14ac:dyDescent="0.25">
      <c r="A14" s="127"/>
      <c r="B14" s="128"/>
      <c r="C14" s="127"/>
      <c r="D14" s="17" t="s">
        <v>8</v>
      </c>
      <c r="E14" s="18">
        <f t="shared" si="0"/>
        <v>0</v>
      </c>
      <c r="F14" s="19">
        <v>0</v>
      </c>
      <c r="G14" s="115">
        <v>0</v>
      </c>
      <c r="H14" s="19">
        <v>0</v>
      </c>
      <c r="I14" s="19">
        <v>0</v>
      </c>
      <c r="J14" s="19">
        <v>0</v>
      </c>
    </row>
    <row r="15" spans="1:10" x14ac:dyDescent="0.25">
      <c r="A15" s="127"/>
      <c r="B15" s="128"/>
      <c r="C15" s="127"/>
      <c r="D15" s="17" t="s">
        <v>18</v>
      </c>
      <c r="E15" s="18">
        <f t="shared" si="0"/>
        <v>0</v>
      </c>
      <c r="F15" s="19">
        <v>0</v>
      </c>
      <c r="G15" s="115">
        <v>0</v>
      </c>
      <c r="H15" s="19">
        <v>0</v>
      </c>
      <c r="I15" s="19">
        <v>0</v>
      </c>
      <c r="J15" s="19">
        <v>0</v>
      </c>
    </row>
    <row r="16" spans="1:10" x14ac:dyDescent="0.25">
      <c r="A16" s="127"/>
      <c r="B16" s="128"/>
      <c r="C16" s="127"/>
      <c r="D16" s="17" t="s">
        <v>7</v>
      </c>
      <c r="E16" s="18">
        <f t="shared" si="0"/>
        <v>0</v>
      </c>
      <c r="F16" s="19">
        <v>0</v>
      </c>
      <c r="G16" s="115">
        <v>0</v>
      </c>
      <c r="H16" s="19">
        <v>0</v>
      </c>
      <c r="I16" s="19">
        <v>0</v>
      </c>
      <c r="J16" s="19">
        <v>0</v>
      </c>
    </row>
    <row r="17" spans="1:10" x14ac:dyDescent="0.25">
      <c r="A17" s="127" t="s">
        <v>26</v>
      </c>
      <c r="B17" s="128" t="s">
        <v>73</v>
      </c>
      <c r="C17" s="127" t="s">
        <v>78</v>
      </c>
      <c r="D17" s="14" t="s">
        <v>3</v>
      </c>
      <c r="E17" s="15">
        <f t="shared" ref="E17:E23" si="3">ROUND(SUM(F17:J17),5)</f>
        <v>11199.195</v>
      </c>
      <c r="F17" s="1">
        <f t="shared" ref="F17:J17" si="4">ROUND(SUM(F18:F23),5)</f>
        <v>2689.7</v>
      </c>
      <c r="G17" s="114">
        <f t="shared" si="4"/>
        <v>2651.9189999999999</v>
      </c>
      <c r="H17" s="1">
        <f t="shared" si="4"/>
        <v>2651.9189999999999</v>
      </c>
      <c r="I17" s="1">
        <f t="shared" si="4"/>
        <v>3205.6570000000002</v>
      </c>
      <c r="J17" s="1">
        <f t="shared" si="4"/>
        <v>0</v>
      </c>
    </row>
    <row r="18" spans="1:10" x14ac:dyDescent="0.25">
      <c r="A18" s="127"/>
      <c r="B18" s="128"/>
      <c r="C18" s="127"/>
      <c r="D18" s="17" t="s">
        <v>4</v>
      </c>
      <c r="E18" s="18">
        <f t="shared" si="3"/>
        <v>4133.6000000000004</v>
      </c>
      <c r="F18" s="19">
        <v>1038.5</v>
      </c>
      <c r="G18" s="115">
        <v>1023.9</v>
      </c>
      <c r="H18" s="19">
        <v>1023.9</v>
      </c>
      <c r="I18" s="19">
        <v>1047.3</v>
      </c>
      <c r="J18" s="19">
        <v>0</v>
      </c>
    </row>
    <row r="19" spans="1:10" ht="31.5" x14ac:dyDescent="0.25">
      <c r="A19" s="127"/>
      <c r="B19" s="128"/>
      <c r="C19" s="127"/>
      <c r="D19" s="17" t="s">
        <v>5</v>
      </c>
      <c r="E19" s="18">
        <f t="shared" si="3"/>
        <v>6953.6</v>
      </c>
      <c r="F19" s="19">
        <v>1624.3</v>
      </c>
      <c r="G19" s="115">
        <v>1601.5</v>
      </c>
      <c r="H19" s="19">
        <v>1601.5</v>
      </c>
      <c r="I19" s="19">
        <v>2126.3000000000002</v>
      </c>
      <c r="J19" s="19">
        <v>0</v>
      </c>
    </row>
    <row r="20" spans="1:10" x14ac:dyDescent="0.25">
      <c r="A20" s="127"/>
      <c r="B20" s="128"/>
      <c r="C20" s="127"/>
      <c r="D20" s="17" t="s">
        <v>6</v>
      </c>
      <c r="E20" s="18">
        <f t="shared" si="3"/>
        <v>111.995</v>
      </c>
      <c r="F20" s="20">
        <v>26.9</v>
      </c>
      <c r="G20" s="116">
        <v>26.518999999999998</v>
      </c>
      <c r="H20" s="20">
        <v>26.518999999999998</v>
      </c>
      <c r="I20" s="20">
        <v>32.057000000000002</v>
      </c>
      <c r="J20" s="20">
        <v>0</v>
      </c>
    </row>
    <row r="21" spans="1:10" ht="31.5" x14ac:dyDescent="0.25">
      <c r="A21" s="127"/>
      <c r="B21" s="128"/>
      <c r="C21" s="127"/>
      <c r="D21" s="17" t="s">
        <v>8</v>
      </c>
      <c r="E21" s="18">
        <f t="shared" si="3"/>
        <v>0</v>
      </c>
      <c r="F21" s="19">
        <v>0</v>
      </c>
      <c r="G21" s="115">
        <v>0</v>
      </c>
      <c r="H21" s="19">
        <v>0</v>
      </c>
      <c r="I21" s="19">
        <v>0</v>
      </c>
      <c r="J21" s="19">
        <v>0</v>
      </c>
    </row>
    <row r="22" spans="1:10" x14ac:dyDescent="0.25">
      <c r="A22" s="127"/>
      <c r="B22" s="128"/>
      <c r="C22" s="127"/>
      <c r="D22" s="17" t="s">
        <v>18</v>
      </c>
      <c r="E22" s="18">
        <f t="shared" si="3"/>
        <v>0</v>
      </c>
      <c r="F22" s="19">
        <v>0</v>
      </c>
      <c r="G22" s="115">
        <v>0</v>
      </c>
      <c r="H22" s="19">
        <v>0</v>
      </c>
      <c r="I22" s="19">
        <v>0</v>
      </c>
      <c r="J22" s="19">
        <v>0</v>
      </c>
    </row>
    <row r="23" spans="1:10" x14ac:dyDescent="0.25">
      <c r="A23" s="127"/>
      <c r="B23" s="128"/>
      <c r="C23" s="127"/>
      <c r="D23" s="17" t="s">
        <v>7</v>
      </c>
      <c r="E23" s="18">
        <f t="shared" si="3"/>
        <v>0</v>
      </c>
      <c r="F23" s="19">
        <v>0</v>
      </c>
      <c r="G23" s="115">
        <v>0</v>
      </c>
      <c r="H23" s="19">
        <v>0</v>
      </c>
      <c r="I23" s="19">
        <v>0</v>
      </c>
      <c r="J23" s="19">
        <v>0</v>
      </c>
    </row>
    <row r="24" spans="1:10" s="16" customFormat="1" x14ac:dyDescent="0.25">
      <c r="A24" s="135" t="s">
        <v>32</v>
      </c>
      <c r="B24" s="132" t="s">
        <v>84</v>
      </c>
      <c r="C24" s="135" t="s">
        <v>78</v>
      </c>
      <c r="D24" s="21" t="s">
        <v>3</v>
      </c>
      <c r="E24" s="15">
        <f t="shared" si="0"/>
        <v>130809.01966000001</v>
      </c>
      <c r="F24" s="1">
        <f t="shared" ref="F24" si="5">ROUND(SUM(F25:F30),5)</f>
        <v>23144.222549999999</v>
      </c>
      <c r="G24" s="114">
        <f t="shared" ref="G24:I24" si="6">ROUND(SUM(G25:G30),5)</f>
        <v>16852.99711</v>
      </c>
      <c r="H24" s="1">
        <f t="shared" si="6"/>
        <v>15135.3</v>
      </c>
      <c r="I24" s="1">
        <f t="shared" si="6"/>
        <v>15135.3</v>
      </c>
      <c r="J24" s="1">
        <f t="shared" ref="J24" si="7">ROUND(SUM(J25:J30),5)</f>
        <v>60541.2</v>
      </c>
    </row>
    <row r="25" spans="1:10" x14ac:dyDescent="0.25">
      <c r="A25" s="135"/>
      <c r="B25" s="132"/>
      <c r="C25" s="135"/>
      <c r="D25" s="22" t="s">
        <v>4</v>
      </c>
      <c r="E25" s="18">
        <f t="shared" si="0"/>
        <v>0</v>
      </c>
      <c r="F25" s="23">
        <v>0</v>
      </c>
      <c r="G25" s="117">
        <v>0</v>
      </c>
      <c r="H25" s="23">
        <v>0</v>
      </c>
      <c r="I25" s="23">
        <v>0</v>
      </c>
      <c r="J25" s="23">
        <v>0</v>
      </c>
    </row>
    <row r="26" spans="1:10" ht="31.5" x14ac:dyDescent="0.25">
      <c r="A26" s="135"/>
      <c r="B26" s="132"/>
      <c r="C26" s="135"/>
      <c r="D26" s="22" t="s">
        <v>5</v>
      </c>
      <c r="E26" s="18">
        <f t="shared" si="0"/>
        <v>0</v>
      </c>
      <c r="F26" s="23">
        <v>0</v>
      </c>
      <c r="G26" s="117">
        <v>0</v>
      </c>
      <c r="H26" s="23">
        <v>0</v>
      </c>
      <c r="I26" s="23">
        <v>0</v>
      </c>
      <c r="J26" s="23">
        <v>0</v>
      </c>
    </row>
    <row r="27" spans="1:10" x14ac:dyDescent="0.25">
      <c r="A27" s="135"/>
      <c r="B27" s="132"/>
      <c r="C27" s="135"/>
      <c r="D27" s="22" t="s">
        <v>6</v>
      </c>
      <c r="E27" s="18">
        <f>ROUND(SUM(F27:J27),5)</f>
        <v>45609.019659999998</v>
      </c>
      <c r="F27" s="23">
        <f>21507.5540299999-23+1659.66852</f>
        <v>23144.2225499999</v>
      </c>
      <c r="G27" s="117">
        <f>935.3+75.5-89.3-48+37.7-8.8-1.2-56.6+3115.71916-3.4+12896.07795</f>
        <v>16852.99711</v>
      </c>
      <c r="H27" s="23">
        <v>935.3</v>
      </c>
      <c r="I27" s="23">
        <v>935.3</v>
      </c>
      <c r="J27" s="23">
        <f>4*935.3</f>
        <v>3741.2</v>
      </c>
    </row>
    <row r="28" spans="1:10" ht="47.25" x14ac:dyDescent="0.25">
      <c r="A28" s="135"/>
      <c r="B28" s="132"/>
      <c r="C28" s="135"/>
      <c r="D28" s="22" t="s">
        <v>8</v>
      </c>
      <c r="E28" s="18">
        <f t="shared" si="0"/>
        <v>0</v>
      </c>
      <c r="F28" s="23">
        <v>0</v>
      </c>
      <c r="G28" s="117">
        <v>0</v>
      </c>
      <c r="H28" s="23">
        <v>0</v>
      </c>
      <c r="I28" s="23">
        <v>0</v>
      </c>
      <c r="J28" s="23">
        <v>0</v>
      </c>
    </row>
    <row r="29" spans="1:10" x14ac:dyDescent="0.25">
      <c r="A29" s="135"/>
      <c r="B29" s="132"/>
      <c r="C29" s="135"/>
      <c r="D29" s="22" t="s">
        <v>18</v>
      </c>
      <c r="E29" s="18">
        <f t="shared" si="0"/>
        <v>0</v>
      </c>
      <c r="F29" s="23">
        <v>0</v>
      </c>
      <c r="G29" s="117">
        <v>0</v>
      </c>
      <c r="H29" s="23">
        <v>0</v>
      </c>
      <c r="I29" s="23">
        <v>0</v>
      </c>
      <c r="J29" s="23">
        <v>0</v>
      </c>
    </row>
    <row r="30" spans="1:10" ht="45.75" customHeight="1" x14ac:dyDescent="0.25">
      <c r="A30" s="135"/>
      <c r="B30" s="132"/>
      <c r="C30" s="135"/>
      <c r="D30" s="22" t="s">
        <v>7</v>
      </c>
      <c r="E30" s="18">
        <f t="shared" si="0"/>
        <v>85200</v>
      </c>
      <c r="F30" s="23">
        <v>0</v>
      </c>
      <c r="G30" s="117">
        <v>0</v>
      </c>
      <c r="H30" s="23">
        <v>14200</v>
      </c>
      <c r="I30" s="23">
        <v>14200</v>
      </c>
      <c r="J30" s="23">
        <f>14200*4</f>
        <v>56800</v>
      </c>
    </row>
    <row r="31" spans="1:10" s="16" customFormat="1" x14ac:dyDescent="0.25">
      <c r="A31" s="135" t="s">
        <v>24</v>
      </c>
      <c r="B31" s="138" t="s">
        <v>89</v>
      </c>
      <c r="C31" s="135" t="s">
        <v>79</v>
      </c>
      <c r="D31" s="21" t="s">
        <v>3</v>
      </c>
      <c r="E31" s="15">
        <f t="shared" si="0"/>
        <v>140828.48616</v>
      </c>
      <c r="F31" s="1">
        <f t="shared" ref="F31" si="8">ROUND(SUM(F32:F37),5)</f>
        <v>16765.941910000001</v>
      </c>
      <c r="G31" s="114">
        <f t="shared" ref="G31:I31" si="9">ROUND(SUM(G32:G37),5)</f>
        <v>15237.784250000001</v>
      </c>
      <c r="H31" s="1">
        <f t="shared" si="9"/>
        <v>18137.46</v>
      </c>
      <c r="I31" s="1">
        <f t="shared" si="9"/>
        <v>18137.46</v>
      </c>
      <c r="J31" s="1">
        <f t="shared" ref="J31" si="10">ROUND(SUM(J32:J37),5)</f>
        <v>72549.84</v>
      </c>
    </row>
    <row r="32" spans="1:10" x14ac:dyDescent="0.25">
      <c r="A32" s="135"/>
      <c r="B32" s="138"/>
      <c r="C32" s="135"/>
      <c r="D32" s="22" t="s">
        <v>4</v>
      </c>
      <c r="E32" s="18">
        <f t="shared" si="0"/>
        <v>0</v>
      </c>
      <c r="F32" s="23">
        <v>0</v>
      </c>
      <c r="G32" s="117">
        <v>0</v>
      </c>
      <c r="H32" s="23">
        <v>0</v>
      </c>
      <c r="I32" s="23">
        <v>0</v>
      </c>
      <c r="J32" s="23">
        <v>0</v>
      </c>
    </row>
    <row r="33" spans="1:11" ht="31.5" x14ac:dyDescent="0.25">
      <c r="A33" s="135"/>
      <c r="B33" s="138"/>
      <c r="C33" s="135"/>
      <c r="D33" s="22" t="s">
        <v>5</v>
      </c>
      <c r="E33" s="18">
        <f t="shared" si="0"/>
        <v>0</v>
      </c>
      <c r="F33" s="23">
        <v>0</v>
      </c>
      <c r="G33" s="117">
        <v>0</v>
      </c>
      <c r="H33" s="23">
        <v>0</v>
      </c>
      <c r="I33" s="23">
        <v>0</v>
      </c>
      <c r="J33" s="23">
        <v>0</v>
      </c>
    </row>
    <row r="34" spans="1:11" x14ac:dyDescent="0.25">
      <c r="A34" s="135"/>
      <c r="B34" s="138"/>
      <c r="C34" s="135"/>
      <c r="D34" s="22" t="s">
        <v>6</v>
      </c>
      <c r="E34" s="18">
        <f t="shared" si="0"/>
        <v>140828.48616</v>
      </c>
      <c r="F34" s="23">
        <f>17186.17808-317.36512-102.87105</f>
        <v>16765.941910000001</v>
      </c>
      <c r="G34" s="117">
        <f>18137.46-75.5+13.474+32.951-304.88829-536.9788-42.075-2.851-30-32-1000-1167+42.6-49.4+2216.4-94-104-3.736+43.8612-1778.72535-3.59138-20.87023-3.3459</f>
        <v>15237.784249999999</v>
      </c>
      <c r="H34" s="23">
        <v>18137.46</v>
      </c>
      <c r="I34" s="23">
        <v>18137.46</v>
      </c>
      <c r="J34" s="23">
        <f>4*18137.46</f>
        <v>72549.84</v>
      </c>
    </row>
    <row r="35" spans="1:11" ht="47.25" x14ac:dyDescent="0.25">
      <c r="A35" s="135"/>
      <c r="B35" s="138"/>
      <c r="C35" s="135"/>
      <c r="D35" s="22" t="s">
        <v>8</v>
      </c>
      <c r="E35" s="18">
        <f t="shared" si="0"/>
        <v>0</v>
      </c>
      <c r="F35" s="23">
        <v>0</v>
      </c>
      <c r="G35" s="117">
        <v>0</v>
      </c>
      <c r="H35" s="23">
        <v>0</v>
      </c>
      <c r="I35" s="23">
        <v>0</v>
      </c>
      <c r="J35" s="23">
        <v>0</v>
      </c>
    </row>
    <row r="36" spans="1:11" x14ac:dyDescent="0.25">
      <c r="A36" s="135"/>
      <c r="B36" s="138"/>
      <c r="C36" s="135"/>
      <c r="D36" s="22" t="s">
        <v>18</v>
      </c>
      <c r="E36" s="18">
        <f t="shared" si="0"/>
        <v>0</v>
      </c>
      <c r="F36" s="23">
        <v>0</v>
      </c>
      <c r="G36" s="117">
        <v>0</v>
      </c>
      <c r="H36" s="23">
        <v>0</v>
      </c>
      <c r="I36" s="23">
        <v>0</v>
      </c>
      <c r="J36" s="23">
        <v>0</v>
      </c>
    </row>
    <row r="37" spans="1:11" ht="44.25" customHeight="1" x14ac:dyDescent="0.25">
      <c r="A37" s="135"/>
      <c r="B37" s="138"/>
      <c r="C37" s="135"/>
      <c r="D37" s="22" t="s">
        <v>7</v>
      </c>
      <c r="E37" s="18">
        <f t="shared" si="0"/>
        <v>0</v>
      </c>
      <c r="F37" s="24">
        <v>0</v>
      </c>
      <c r="G37" s="117">
        <v>0</v>
      </c>
      <c r="H37" s="23">
        <v>0</v>
      </c>
      <c r="I37" s="23">
        <v>0</v>
      </c>
      <c r="J37" s="23">
        <v>0</v>
      </c>
    </row>
    <row r="38" spans="1:11" s="16" customFormat="1" x14ac:dyDescent="0.25">
      <c r="A38" s="135" t="s">
        <v>25</v>
      </c>
      <c r="B38" s="132" t="s">
        <v>90</v>
      </c>
      <c r="C38" s="135" t="s">
        <v>78</v>
      </c>
      <c r="D38" s="21" t="s">
        <v>3</v>
      </c>
      <c r="E38" s="15">
        <f t="shared" si="0"/>
        <v>11456131.97714</v>
      </c>
      <c r="F38" s="1">
        <f t="shared" ref="F38" si="11">ROUND(SUM(F39:F44),5)</f>
        <v>2154988.8901300002</v>
      </c>
      <c r="G38" s="114">
        <f t="shared" ref="G38:I38" si="12">ROUND(SUM(G39:G44),5)</f>
        <v>2355319.1926899999</v>
      </c>
      <c r="H38" s="1">
        <f t="shared" si="12"/>
        <v>2376992.5580000002</v>
      </c>
      <c r="I38" s="1">
        <f t="shared" si="12"/>
        <v>2380831.3363199998</v>
      </c>
      <c r="J38" s="1">
        <f t="shared" ref="J38" si="13">ROUND(SUM(J39:J44),5)</f>
        <v>2188000</v>
      </c>
    </row>
    <row r="39" spans="1:11" x14ac:dyDescent="0.25">
      <c r="A39" s="135"/>
      <c r="B39" s="132"/>
      <c r="C39" s="135"/>
      <c r="D39" s="22" t="s">
        <v>4</v>
      </c>
      <c r="E39" s="18">
        <f t="shared" si="0"/>
        <v>231984.6</v>
      </c>
      <c r="F39" s="23">
        <f>56925.2-625-4161.6-449.3-1029</f>
        <v>50660.299999999996</v>
      </c>
      <c r="G39" s="117">
        <f>54298.1+6874.6+27263.8+625-2540.9-8866</f>
        <v>77654.600000000006</v>
      </c>
      <c r="H39" s="23">
        <v>53309.1</v>
      </c>
      <c r="I39" s="23">
        <v>50360.6</v>
      </c>
      <c r="J39" s="23">
        <v>0</v>
      </c>
      <c r="K39" s="25"/>
    </row>
    <row r="40" spans="1:11" ht="31.5" x14ac:dyDescent="0.25">
      <c r="A40" s="135"/>
      <c r="B40" s="132"/>
      <c r="C40" s="135"/>
      <c r="D40" s="22" t="s">
        <v>5</v>
      </c>
      <c r="E40" s="18">
        <f t="shared" si="0"/>
        <v>6997038.7000000002</v>
      </c>
      <c r="F40" s="23">
        <f>1578197.9+59707.7+5368.1-800+12949.9-5086.5-7501.1-1169-549.1</f>
        <v>1641117.8999999997</v>
      </c>
      <c r="G40" s="117">
        <f>1670573.8+122145.7-960+7164.7-3811.2-18650.7-192</f>
        <v>1776270.3</v>
      </c>
      <c r="H40" s="23">
        <v>1788573.2</v>
      </c>
      <c r="I40" s="23">
        <v>1791077.3</v>
      </c>
      <c r="J40" s="23"/>
    </row>
    <row r="41" spans="1:11" x14ac:dyDescent="0.25">
      <c r="A41" s="135"/>
      <c r="B41" s="132"/>
      <c r="C41" s="135"/>
      <c r="D41" s="22" t="s">
        <v>6</v>
      </c>
      <c r="E41" s="18">
        <f t="shared" si="0"/>
        <v>2865885.83329</v>
      </c>
      <c r="F41" s="23">
        <f>256007.625+7500-26.9+1875.344+2312.319+104644.77325+11000-373.03928+6.3+54826.60072+1030.74272+19487.48-246.60957+0.11222+4727.09172+303.0013+440+77.75343-1454.81343+1069.82652+3.08253</f>
        <v>463210.69013</v>
      </c>
      <c r="G41" s="117">
        <f>324002.92309-3429.14842-70-12467+357.46639+173.8094-309.77071-480.3332+475.10521+4814.96738+2.851+10330.69462+42600-463.91346-210.9245-37.7+10501.57786+36.625+60+18.32-33.9745+12.5695+49058.70537+25.19215+4249.4+27.6+469.6+22183.4-79.48088+29000+37.66303-641.4+1381.25662+363.85374+20668.33003-1233.97203</f>
        <v>501394.29269000003</v>
      </c>
      <c r="H41" s="23">
        <v>308800.88659000001</v>
      </c>
      <c r="I41" s="23">
        <v>312479.96388</v>
      </c>
      <c r="J41" s="23">
        <f>320000*4</f>
        <v>1280000</v>
      </c>
    </row>
    <row r="42" spans="1:11" ht="47.25" x14ac:dyDescent="0.25">
      <c r="A42" s="135"/>
      <c r="B42" s="132"/>
      <c r="C42" s="135"/>
      <c r="D42" s="22" t="s">
        <v>8</v>
      </c>
      <c r="E42" s="18">
        <f t="shared" si="0"/>
        <v>0</v>
      </c>
      <c r="F42" s="23">
        <v>0</v>
      </c>
      <c r="G42" s="117">
        <v>0</v>
      </c>
      <c r="H42" s="23">
        <v>0</v>
      </c>
      <c r="I42" s="23">
        <v>0</v>
      </c>
      <c r="J42" s="23">
        <v>0</v>
      </c>
    </row>
    <row r="43" spans="1:11" x14ac:dyDescent="0.25">
      <c r="A43" s="135"/>
      <c r="B43" s="132"/>
      <c r="C43" s="135"/>
      <c r="D43" s="22" t="s">
        <v>18</v>
      </c>
      <c r="E43" s="18">
        <f t="shared" si="0"/>
        <v>0</v>
      </c>
      <c r="F43" s="23">
        <v>0</v>
      </c>
      <c r="G43" s="117">
        <v>0</v>
      </c>
      <c r="H43" s="23">
        <v>0</v>
      </c>
      <c r="I43" s="23"/>
      <c r="J43" s="23">
        <v>0</v>
      </c>
    </row>
    <row r="44" spans="1:11" x14ac:dyDescent="0.25">
      <c r="A44" s="135"/>
      <c r="B44" s="132"/>
      <c r="C44" s="135"/>
      <c r="D44" s="22" t="s">
        <v>7</v>
      </c>
      <c r="E44" s="18">
        <f t="shared" si="0"/>
        <v>1361222.8438500001</v>
      </c>
      <c r="F44" s="26">
        <f>283530.525-2000-7500-8238.281-46000-52272.639-6372.13425-161147.47075</f>
        <v>0</v>
      </c>
      <c r="G44" s="118">
        <v>0</v>
      </c>
      <c r="H44" s="27">
        <v>226309.37140999999</v>
      </c>
      <c r="I44" s="27">
        <v>226913.47244000001</v>
      </c>
      <c r="J44" s="27">
        <f>227000*4</f>
        <v>908000</v>
      </c>
    </row>
    <row r="45" spans="1:11" s="16" customFormat="1" x14ac:dyDescent="0.25">
      <c r="A45" s="135" t="s">
        <v>74</v>
      </c>
      <c r="B45" s="132" t="s">
        <v>47</v>
      </c>
      <c r="C45" s="135" t="s">
        <v>79</v>
      </c>
      <c r="D45" s="21" t="s">
        <v>3</v>
      </c>
      <c r="E45" s="15">
        <f t="shared" si="0"/>
        <v>120191.9</v>
      </c>
      <c r="F45" s="1">
        <f t="shared" ref="F45" si="14">ROUND(SUM(F46:F51),5)</f>
        <v>25556.799999999999</v>
      </c>
      <c r="G45" s="114">
        <f t="shared" ref="G45:I45" si="15">ROUND(SUM(G46:G51),5)</f>
        <v>27637.3</v>
      </c>
      <c r="H45" s="1">
        <f t="shared" si="15"/>
        <v>33498.9</v>
      </c>
      <c r="I45" s="1">
        <f t="shared" si="15"/>
        <v>33498.9</v>
      </c>
      <c r="J45" s="1">
        <f t="shared" ref="J45" si="16">ROUND(SUM(J46:J51),5)</f>
        <v>0</v>
      </c>
    </row>
    <row r="46" spans="1:11" x14ac:dyDescent="0.25">
      <c r="A46" s="135"/>
      <c r="B46" s="132"/>
      <c r="C46" s="135"/>
      <c r="D46" s="22" t="s">
        <v>4</v>
      </c>
      <c r="E46" s="18">
        <f t="shared" si="0"/>
        <v>40251.9</v>
      </c>
      <c r="F46" s="23">
        <f>14740.4-4161.6-449.3</f>
        <v>10129.5</v>
      </c>
      <c r="G46" s="117">
        <f>12582-2540.9</f>
        <v>10041.1</v>
      </c>
      <c r="H46" s="23">
        <v>11436.8</v>
      </c>
      <c r="I46" s="23">
        <v>8644.5</v>
      </c>
      <c r="J46" s="28">
        <v>0</v>
      </c>
    </row>
    <row r="47" spans="1:11" ht="31.5" x14ac:dyDescent="0.25">
      <c r="A47" s="135"/>
      <c r="B47" s="132"/>
      <c r="C47" s="135"/>
      <c r="D47" s="22" t="s">
        <v>5</v>
      </c>
      <c r="E47" s="18">
        <f t="shared" si="0"/>
        <v>67266.2</v>
      </c>
      <c r="F47" s="23">
        <f>18016-5086.5-549.1</f>
        <v>12380.4</v>
      </c>
      <c r="G47" s="117">
        <f>18872.9-3811.2</f>
        <v>15061.7</v>
      </c>
      <c r="H47" s="23">
        <v>18660</v>
      </c>
      <c r="I47" s="23">
        <v>21164.1</v>
      </c>
      <c r="J47" s="28">
        <v>0</v>
      </c>
    </row>
    <row r="48" spans="1:11" x14ac:dyDescent="0.25">
      <c r="A48" s="135"/>
      <c r="B48" s="132"/>
      <c r="C48" s="135"/>
      <c r="D48" s="22" t="s">
        <v>6</v>
      </c>
      <c r="E48" s="18">
        <f t="shared" si="0"/>
        <v>12673.8</v>
      </c>
      <c r="F48" s="23">
        <f>4434-1251.9-135.2</f>
        <v>3046.9</v>
      </c>
      <c r="G48" s="117">
        <f>3175.9-641.4</f>
        <v>2534.5</v>
      </c>
      <c r="H48" s="23">
        <v>3402.1</v>
      </c>
      <c r="I48" s="23">
        <v>3690.3</v>
      </c>
      <c r="J48" s="28">
        <v>0</v>
      </c>
    </row>
    <row r="49" spans="1:10" ht="47.25" x14ac:dyDescent="0.25">
      <c r="A49" s="135"/>
      <c r="B49" s="132"/>
      <c r="C49" s="135"/>
      <c r="D49" s="22" t="s">
        <v>8</v>
      </c>
      <c r="E49" s="18">
        <f t="shared" ref="E49:E94" si="17">ROUND(SUM(F49:J49),5)</f>
        <v>0</v>
      </c>
      <c r="F49" s="23">
        <v>0</v>
      </c>
      <c r="G49" s="117">
        <v>0</v>
      </c>
      <c r="H49" s="23">
        <v>0</v>
      </c>
      <c r="I49" s="23">
        <v>0</v>
      </c>
      <c r="J49" s="23">
        <v>0</v>
      </c>
    </row>
    <row r="50" spans="1:10" x14ac:dyDescent="0.25">
      <c r="A50" s="135"/>
      <c r="B50" s="132"/>
      <c r="C50" s="135"/>
      <c r="D50" s="22" t="s">
        <v>18</v>
      </c>
      <c r="E50" s="18">
        <f t="shared" si="17"/>
        <v>0</v>
      </c>
      <c r="F50" s="23">
        <v>0</v>
      </c>
      <c r="G50" s="117">
        <v>0</v>
      </c>
      <c r="H50" s="23">
        <v>0</v>
      </c>
      <c r="I50" s="23">
        <v>0</v>
      </c>
      <c r="J50" s="23">
        <v>0</v>
      </c>
    </row>
    <row r="51" spans="1:10" x14ac:dyDescent="0.25">
      <c r="A51" s="135"/>
      <c r="B51" s="132"/>
      <c r="C51" s="135"/>
      <c r="D51" s="22" t="s">
        <v>7</v>
      </c>
      <c r="E51" s="18">
        <f t="shared" si="17"/>
        <v>0</v>
      </c>
      <c r="F51" s="23">
        <v>0</v>
      </c>
      <c r="G51" s="117">
        <v>0</v>
      </c>
      <c r="H51" s="23">
        <v>0</v>
      </c>
      <c r="I51" s="23">
        <v>0</v>
      </c>
      <c r="J51" s="23">
        <v>0</v>
      </c>
    </row>
    <row r="52" spans="1:10" s="16" customFormat="1" x14ac:dyDescent="0.25">
      <c r="A52" s="135" t="s">
        <v>75</v>
      </c>
      <c r="B52" s="132" t="s">
        <v>46</v>
      </c>
      <c r="C52" s="135" t="s">
        <v>79</v>
      </c>
      <c r="D52" s="21" t="s">
        <v>3</v>
      </c>
      <c r="E52" s="15">
        <f t="shared" si="17"/>
        <v>191107.7</v>
      </c>
      <c r="F52" s="1">
        <f t="shared" ref="F52" si="18">ROUND(SUM(F53:F58),5)</f>
        <v>40530.800000000003</v>
      </c>
      <c r="G52" s="114">
        <f t="shared" ref="G52:I52" si="19">ROUND(SUM(G53:G58),5)</f>
        <v>66988.5</v>
      </c>
      <c r="H52" s="1">
        <f t="shared" si="19"/>
        <v>41872.300000000003</v>
      </c>
      <c r="I52" s="1">
        <f t="shared" si="19"/>
        <v>41716.1</v>
      </c>
      <c r="J52" s="1">
        <f t="shared" ref="J52" si="20">ROUND(SUM(J53:J58),5)</f>
        <v>0</v>
      </c>
    </row>
    <row r="53" spans="1:10" x14ac:dyDescent="0.25">
      <c r="A53" s="135"/>
      <c r="B53" s="132"/>
      <c r="C53" s="135"/>
      <c r="D53" s="22" t="s">
        <v>4</v>
      </c>
      <c r="E53" s="18">
        <f t="shared" si="17"/>
        <v>191107.7</v>
      </c>
      <c r="F53" s="23">
        <f>42184.8-625-1029</f>
        <v>40530.800000000003</v>
      </c>
      <c r="G53" s="117">
        <f>41716.1+6874.6+27263.8-8866</f>
        <v>66988.5</v>
      </c>
      <c r="H53" s="23">
        <v>41872.300000000003</v>
      </c>
      <c r="I53" s="23">
        <v>41716.1</v>
      </c>
      <c r="J53" s="28">
        <v>0</v>
      </c>
    </row>
    <row r="54" spans="1:10" ht="31.5" x14ac:dyDescent="0.25">
      <c r="A54" s="135"/>
      <c r="B54" s="132"/>
      <c r="C54" s="135"/>
      <c r="D54" s="22" t="s">
        <v>5</v>
      </c>
      <c r="E54" s="18">
        <f t="shared" si="17"/>
        <v>0</v>
      </c>
      <c r="F54" s="23">
        <v>0</v>
      </c>
      <c r="G54" s="117">
        <v>0</v>
      </c>
      <c r="H54" s="23">
        <v>0</v>
      </c>
      <c r="I54" s="23">
        <v>0</v>
      </c>
      <c r="J54" s="23">
        <v>0</v>
      </c>
    </row>
    <row r="55" spans="1:10" x14ac:dyDescent="0.25">
      <c r="A55" s="135"/>
      <c r="B55" s="132"/>
      <c r="C55" s="135"/>
      <c r="D55" s="22" t="s">
        <v>6</v>
      </c>
      <c r="E55" s="18">
        <f t="shared" si="17"/>
        <v>0</v>
      </c>
      <c r="F55" s="23">
        <v>0</v>
      </c>
      <c r="G55" s="117">
        <v>0</v>
      </c>
      <c r="H55" s="23">
        <v>0</v>
      </c>
      <c r="I55" s="23">
        <v>0</v>
      </c>
      <c r="J55" s="23">
        <v>0</v>
      </c>
    </row>
    <row r="56" spans="1:10" ht="47.25" x14ac:dyDescent="0.25">
      <c r="A56" s="135"/>
      <c r="B56" s="132"/>
      <c r="C56" s="135"/>
      <c r="D56" s="22" t="s">
        <v>8</v>
      </c>
      <c r="E56" s="18">
        <f t="shared" si="17"/>
        <v>0</v>
      </c>
      <c r="F56" s="23">
        <v>0</v>
      </c>
      <c r="G56" s="117">
        <v>0</v>
      </c>
      <c r="H56" s="23">
        <v>0</v>
      </c>
      <c r="I56" s="23">
        <v>0</v>
      </c>
      <c r="J56" s="23">
        <v>0</v>
      </c>
    </row>
    <row r="57" spans="1:10" x14ac:dyDescent="0.25">
      <c r="A57" s="135"/>
      <c r="B57" s="132"/>
      <c r="C57" s="135"/>
      <c r="D57" s="22" t="s">
        <v>18</v>
      </c>
      <c r="E57" s="18">
        <f t="shared" si="17"/>
        <v>0</v>
      </c>
      <c r="F57" s="23">
        <v>0</v>
      </c>
      <c r="G57" s="117">
        <v>0</v>
      </c>
      <c r="H57" s="23">
        <v>0</v>
      </c>
      <c r="I57" s="23">
        <v>0</v>
      </c>
      <c r="J57" s="23">
        <v>0</v>
      </c>
    </row>
    <row r="58" spans="1:10" x14ac:dyDescent="0.25">
      <c r="A58" s="135"/>
      <c r="B58" s="132"/>
      <c r="C58" s="135"/>
      <c r="D58" s="22" t="s">
        <v>7</v>
      </c>
      <c r="E58" s="18">
        <f t="shared" si="17"/>
        <v>0</v>
      </c>
      <c r="F58" s="23">
        <v>0</v>
      </c>
      <c r="G58" s="117">
        <v>0</v>
      </c>
      <c r="H58" s="23">
        <v>0</v>
      </c>
      <c r="I58" s="23">
        <v>0</v>
      </c>
      <c r="J58" s="23">
        <v>0</v>
      </c>
    </row>
    <row r="59" spans="1:10" x14ac:dyDescent="0.25">
      <c r="A59" s="135" t="s">
        <v>76</v>
      </c>
      <c r="B59" s="132" t="s">
        <v>72</v>
      </c>
      <c r="C59" s="135" t="s">
        <v>78</v>
      </c>
      <c r="D59" s="21" t="s">
        <v>3</v>
      </c>
      <c r="E59" s="1">
        <f t="shared" ref="E59:E65" si="21">ROUND(SUM(F59:J59),5)</f>
        <v>0</v>
      </c>
      <c r="F59" s="1">
        <f t="shared" ref="F59:J59" si="22">ROUND(SUM(F60:F65),5)</f>
        <v>0</v>
      </c>
      <c r="G59" s="114">
        <f t="shared" si="22"/>
        <v>0</v>
      </c>
      <c r="H59" s="1">
        <f t="shared" si="22"/>
        <v>0</v>
      </c>
      <c r="I59" s="1">
        <f t="shared" si="22"/>
        <v>0</v>
      </c>
      <c r="J59" s="1">
        <f t="shared" si="22"/>
        <v>0</v>
      </c>
    </row>
    <row r="60" spans="1:10" x14ac:dyDescent="0.25">
      <c r="A60" s="135"/>
      <c r="B60" s="132"/>
      <c r="C60" s="135"/>
      <c r="D60" s="22" t="s">
        <v>4</v>
      </c>
      <c r="E60" s="20">
        <f t="shared" si="21"/>
        <v>0</v>
      </c>
      <c r="F60" s="19">
        <f>1038.5-1038.5</f>
        <v>0</v>
      </c>
      <c r="G60" s="115">
        <f>1023.8-1023.8</f>
        <v>0</v>
      </c>
      <c r="H60" s="19">
        <f>1023.8-1023.8</f>
        <v>0</v>
      </c>
      <c r="I60" s="19">
        <v>0</v>
      </c>
      <c r="J60" s="29">
        <v>0</v>
      </c>
    </row>
    <row r="61" spans="1:10" ht="31.5" x14ac:dyDescent="0.25">
      <c r="A61" s="135"/>
      <c r="B61" s="132"/>
      <c r="C61" s="135"/>
      <c r="D61" s="22" t="s">
        <v>5</v>
      </c>
      <c r="E61" s="20">
        <f t="shared" si="21"/>
        <v>0</v>
      </c>
      <c r="F61" s="19">
        <f>1624.3-1624.3</f>
        <v>0</v>
      </c>
      <c r="G61" s="115">
        <f>1601.2-1601.2</f>
        <v>0</v>
      </c>
      <c r="H61" s="19">
        <f>1601.2-1601.2</f>
        <v>0</v>
      </c>
      <c r="I61" s="19">
        <v>0</v>
      </c>
      <c r="J61" s="19">
        <v>0</v>
      </c>
    </row>
    <row r="62" spans="1:10" x14ac:dyDescent="0.25">
      <c r="A62" s="135"/>
      <c r="B62" s="132"/>
      <c r="C62" s="135"/>
      <c r="D62" s="22" t="s">
        <v>6</v>
      </c>
      <c r="E62" s="20">
        <f t="shared" si="21"/>
        <v>0</v>
      </c>
      <c r="F62" s="19">
        <f>26.9-26.9</f>
        <v>0</v>
      </c>
      <c r="G62" s="115">
        <f>26.5-26.5</f>
        <v>0</v>
      </c>
      <c r="H62" s="19">
        <f>26.5-26.5</f>
        <v>0</v>
      </c>
      <c r="I62" s="19">
        <v>0</v>
      </c>
      <c r="J62" s="19">
        <v>0</v>
      </c>
    </row>
    <row r="63" spans="1:10" ht="35.25" customHeight="1" x14ac:dyDescent="0.25">
      <c r="A63" s="135"/>
      <c r="B63" s="132"/>
      <c r="C63" s="135"/>
      <c r="D63" s="22" t="s">
        <v>8</v>
      </c>
      <c r="E63" s="20">
        <f t="shared" si="21"/>
        <v>0</v>
      </c>
      <c r="F63" s="19">
        <v>0</v>
      </c>
      <c r="G63" s="115">
        <v>0</v>
      </c>
      <c r="H63" s="19">
        <v>0</v>
      </c>
      <c r="I63" s="19">
        <v>0</v>
      </c>
      <c r="J63" s="19">
        <v>0</v>
      </c>
    </row>
    <row r="64" spans="1:10" x14ac:dyDescent="0.25">
      <c r="A64" s="135"/>
      <c r="B64" s="132"/>
      <c r="C64" s="135"/>
      <c r="D64" s="22" t="s">
        <v>18</v>
      </c>
      <c r="E64" s="20">
        <f t="shared" si="21"/>
        <v>0</v>
      </c>
      <c r="F64" s="19">
        <v>0</v>
      </c>
      <c r="G64" s="115">
        <v>0</v>
      </c>
      <c r="H64" s="19">
        <v>0</v>
      </c>
      <c r="I64" s="19">
        <v>0</v>
      </c>
      <c r="J64" s="19">
        <v>0</v>
      </c>
    </row>
    <row r="65" spans="1:10" x14ac:dyDescent="0.25">
      <c r="A65" s="135"/>
      <c r="B65" s="132"/>
      <c r="C65" s="135"/>
      <c r="D65" s="22" t="s">
        <v>7</v>
      </c>
      <c r="E65" s="20">
        <f t="shared" si="21"/>
        <v>0</v>
      </c>
      <c r="F65" s="19">
        <v>0</v>
      </c>
      <c r="G65" s="115">
        <v>0</v>
      </c>
      <c r="H65" s="19">
        <v>0</v>
      </c>
      <c r="I65" s="19">
        <v>0</v>
      </c>
      <c r="J65" s="19">
        <v>0</v>
      </c>
    </row>
    <row r="66" spans="1:10" x14ac:dyDescent="0.25">
      <c r="A66" s="135" t="s">
        <v>95</v>
      </c>
      <c r="B66" s="132" t="s">
        <v>96</v>
      </c>
      <c r="C66" s="135" t="s">
        <v>78</v>
      </c>
      <c r="D66" s="21" t="s">
        <v>3</v>
      </c>
      <c r="E66" s="1">
        <f t="shared" ref="E66:E72" si="23">ROUND(SUM(F66:J66),5)</f>
        <v>625</v>
      </c>
      <c r="F66" s="1">
        <f t="shared" ref="F66:J66" si="24">ROUND(SUM(F67:F72),5)</f>
        <v>0</v>
      </c>
      <c r="G66" s="114">
        <f t="shared" si="24"/>
        <v>625</v>
      </c>
      <c r="H66" s="1">
        <f t="shared" si="24"/>
        <v>0</v>
      </c>
      <c r="I66" s="1">
        <f t="shared" si="24"/>
        <v>0</v>
      </c>
      <c r="J66" s="1">
        <f t="shared" si="24"/>
        <v>0</v>
      </c>
    </row>
    <row r="67" spans="1:10" x14ac:dyDescent="0.25">
      <c r="A67" s="135"/>
      <c r="B67" s="132"/>
      <c r="C67" s="135"/>
      <c r="D67" s="22" t="s">
        <v>4</v>
      </c>
      <c r="E67" s="20">
        <f t="shared" si="23"/>
        <v>625</v>
      </c>
      <c r="F67" s="19">
        <f>1038.5-1038.5</f>
        <v>0</v>
      </c>
      <c r="G67" s="115">
        <v>625</v>
      </c>
      <c r="H67" s="19">
        <f>1023.8-1023.8</f>
        <v>0</v>
      </c>
      <c r="I67" s="19">
        <v>0</v>
      </c>
      <c r="J67" s="29">
        <v>0</v>
      </c>
    </row>
    <row r="68" spans="1:10" ht="31.5" x14ac:dyDescent="0.25">
      <c r="A68" s="135"/>
      <c r="B68" s="132"/>
      <c r="C68" s="135"/>
      <c r="D68" s="22" t="s">
        <v>5</v>
      </c>
      <c r="E68" s="20">
        <f t="shared" si="23"/>
        <v>0</v>
      </c>
      <c r="F68" s="19">
        <f>1624.3-1624.3</f>
        <v>0</v>
      </c>
      <c r="G68" s="115">
        <f>1601.2-1601.2</f>
        <v>0</v>
      </c>
      <c r="H68" s="19">
        <f>1601.2-1601.2</f>
        <v>0</v>
      </c>
      <c r="I68" s="19">
        <v>0</v>
      </c>
      <c r="J68" s="19">
        <v>0</v>
      </c>
    </row>
    <row r="69" spans="1:10" x14ac:dyDescent="0.25">
      <c r="A69" s="135"/>
      <c r="B69" s="132"/>
      <c r="C69" s="135"/>
      <c r="D69" s="22" t="s">
        <v>6</v>
      </c>
      <c r="E69" s="20">
        <f t="shared" si="23"/>
        <v>0</v>
      </c>
      <c r="F69" s="19">
        <f>26.9-26.9</f>
        <v>0</v>
      </c>
      <c r="G69" s="115">
        <f>26.5-26.5</f>
        <v>0</v>
      </c>
      <c r="H69" s="19">
        <f>26.5-26.5</f>
        <v>0</v>
      </c>
      <c r="I69" s="19">
        <v>0</v>
      </c>
      <c r="J69" s="19">
        <v>0</v>
      </c>
    </row>
    <row r="70" spans="1:10" ht="47.25" x14ac:dyDescent="0.25">
      <c r="A70" s="135"/>
      <c r="B70" s="132"/>
      <c r="C70" s="135"/>
      <c r="D70" s="22" t="s">
        <v>8</v>
      </c>
      <c r="E70" s="20">
        <f t="shared" si="23"/>
        <v>0</v>
      </c>
      <c r="F70" s="19">
        <v>0</v>
      </c>
      <c r="G70" s="115">
        <v>0</v>
      </c>
      <c r="H70" s="19">
        <v>0</v>
      </c>
      <c r="I70" s="19">
        <v>0</v>
      </c>
      <c r="J70" s="19">
        <v>0</v>
      </c>
    </row>
    <row r="71" spans="1:10" x14ac:dyDescent="0.25">
      <c r="A71" s="135"/>
      <c r="B71" s="132"/>
      <c r="C71" s="135"/>
      <c r="D71" s="22" t="s">
        <v>18</v>
      </c>
      <c r="E71" s="20">
        <f t="shared" si="23"/>
        <v>0</v>
      </c>
      <c r="F71" s="19">
        <v>0</v>
      </c>
      <c r="G71" s="115">
        <v>0</v>
      </c>
      <c r="H71" s="19">
        <v>0</v>
      </c>
      <c r="I71" s="19">
        <v>0</v>
      </c>
      <c r="J71" s="19">
        <v>0</v>
      </c>
    </row>
    <row r="72" spans="1:10" x14ac:dyDescent="0.25">
      <c r="A72" s="135"/>
      <c r="B72" s="132"/>
      <c r="C72" s="135"/>
      <c r="D72" s="22" t="s">
        <v>7</v>
      </c>
      <c r="E72" s="20">
        <f t="shared" si="23"/>
        <v>0</v>
      </c>
      <c r="F72" s="19">
        <v>0</v>
      </c>
      <c r="G72" s="115">
        <v>0</v>
      </c>
      <c r="H72" s="19">
        <v>0</v>
      </c>
      <c r="I72" s="19">
        <v>0</v>
      </c>
      <c r="J72" s="19">
        <v>0</v>
      </c>
    </row>
    <row r="73" spans="1:10" s="16" customFormat="1" ht="15.75" customHeight="1" x14ac:dyDescent="0.25">
      <c r="A73" s="142" t="s">
        <v>51</v>
      </c>
      <c r="B73" s="139" t="s">
        <v>58</v>
      </c>
      <c r="C73" s="142" t="s">
        <v>79</v>
      </c>
      <c r="D73" s="21" t="s">
        <v>3</v>
      </c>
      <c r="E73" s="15">
        <f t="shared" si="17"/>
        <v>5215.7047000000002</v>
      </c>
      <c r="F73" s="1">
        <f t="shared" ref="F73" si="25">ROUND(SUM(F74:F79),5)</f>
        <v>546.82136000000003</v>
      </c>
      <c r="G73" s="114">
        <f t="shared" ref="G73:I73" si="26">ROUND(SUM(G74:G79),5)</f>
        <v>632.45150000000001</v>
      </c>
      <c r="H73" s="1">
        <f t="shared" si="26"/>
        <v>672.73864000000003</v>
      </c>
      <c r="I73" s="1">
        <f t="shared" si="26"/>
        <v>672.73864000000003</v>
      </c>
      <c r="J73" s="1">
        <f t="shared" ref="J73" si="27">ROUND(SUM(J74:J79),5)</f>
        <v>2690.9545600000001</v>
      </c>
    </row>
    <row r="74" spans="1:10" x14ac:dyDescent="0.25">
      <c r="A74" s="143"/>
      <c r="B74" s="140"/>
      <c r="C74" s="143"/>
      <c r="D74" s="22" t="s">
        <v>4</v>
      </c>
      <c r="E74" s="18">
        <f t="shared" si="17"/>
        <v>0</v>
      </c>
      <c r="F74" s="23">
        <v>0</v>
      </c>
      <c r="G74" s="117">
        <v>0</v>
      </c>
      <c r="H74" s="23">
        <v>0</v>
      </c>
      <c r="I74" s="23">
        <v>0</v>
      </c>
      <c r="J74" s="23">
        <v>0</v>
      </c>
    </row>
    <row r="75" spans="1:10" ht="31.5" x14ac:dyDescent="0.25">
      <c r="A75" s="143"/>
      <c r="B75" s="140"/>
      <c r="C75" s="143"/>
      <c r="D75" s="22" t="s">
        <v>5</v>
      </c>
      <c r="E75" s="18">
        <f t="shared" si="17"/>
        <v>0</v>
      </c>
      <c r="F75" s="23">
        <v>0</v>
      </c>
      <c r="G75" s="117">
        <v>0</v>
      </c>
      <c r="H75" s="23">
        <v>0</v>
      </c>
      <c r="I75" s="23">
        <v>0</v>
      </c>
      <c r="J75" s="23">
        <v>0</v>
      </c>
    </row>
    <row r="76" spans="1:10" x14ac:dyDescent="0.25">
      <c r="A76" s="143"/>
      <c r="B76" s="140"/>
      <c r="C76" s="143"/>
      <c r="D76" s="22" t="s">
        <v>6</v>
      </c>
      <c r="E76" s="18">
        <f t="shared" si="17"/>
        <v>5215.7047000000002</v>
      </c>
      <c r="F76" s="23">
        <f>705.2-0.1244-151.95424-6.3</f>
        <v>546.82136000000003</v>
      </c>
      <c r="G76" s="117">
        <f>672.73864-7.02207-22.1648-7.78433-1.21594-2.1</f>
        <v>632.45150000000001</v>
      </c>
      <c r="H76" s="23">
        <v>672.73864000000003</v>
      </c>
      <c r="I76" s="23">
        <v>672.73864000000003</v>
      </c>
      <c r="J76" s="23">
        <f>4*672.73864</f>
        <v>2690.9545600000001</v>
      </c>
    </row>
    <row r="77" spans="1:10" ht="33" customHeight="1" x14ac:dyDescent="0.25">
      <c r="A77" s="143"/>
      <c r="B77" s="140"/>
      <c r="C77" s="143"/>
      <c r="D77" s="22" t="s">
        <v>8</v>
      </c>
      <c r="E77" s="18">
        <f t="shared" si="17"/>
        <v>0</v>
      </c>
      <c r="F77" s="23">
        <v>0</v>
      </c>
      <c r="G77" s="117">
        <v>0</v>
      </c>
      <c r="H77" s="23">
        <v>0</v>
      </c>
      <c r="I77" s="23">
        <v>0</v>
      </c>
      <c r="J77" s="23">
        <v>0</v>
      </c>
    </row>
    <row r="78" spans="1:10" x14ac:dyDescent="0.25">
      <c r="A78" s="143"/>
      <c r="B78" s="140"/>
      <c r="C78" s="143"/>
      <c r="D78" s="22" t="s">
        <v>18</v>
      </c>
      <c r="E78" s="18">
        <f t="shared" si="17"/>
        <v>0</v>
      </c>
      <c r="F78" s="23">
        <v>0</v>
      </c>
      <c r="G78" s="117">
        <v>0</v>
      </c>
      <c r="H78" s="23">
        <v>0</v>
      </c>
      <c r="I78" s="23">
        <v>0</v>
      </c>
      <c r="J78" s="23">
        <v>0</v>
      </c>
    </row>
    <row r="79" spans="1:10" x14ac:dyDescent="0.25">
      <c r="A79" s="144"/>
      <c r="B79" s="141"/>
      <c r="C79" s="144"/>
      <c r="D79" s="22" t="s">
        <v>7</v>
      </c>
      <c r="E79" s="18">
        <f t="shared" si="17"/>
        <v>0</v>
      </c>
      <c r="F79" s="23">
        <f t="shared" ref="F79:J79" si="28">100-100</f>
        <v>0</v>
      </c>
      <c r="G79" s="117">
        <f t="shared" si="28"/>
        <v>0</v>
      </c>
      <c r="H79" s="23">
        <f t="shared" si="28"/>
        <v>0</v>
      </c>
      <c r="I79" s="23">
        <v>0</v>
      </c>
      <c r="J79" s="23">
        <f t="shared" si="28"/>
        <v>0</v>
      </c>
    </row>
    <row r="80" spans="1:10" s="16" customFormat="1" x14ac:dyDescent="0.25">
      <c r="A80" s="135" t="s">
        <v>77</v>
      </c>
      <c r="B80" s="132" t="s">
        <v>91</v>
      </c>
      <c r="C80" s="127" t="s">
        <v>80</v>
      </c>
      <c r="D80" s="21" t="s">
        <v>3</v>
      </c>
      <c r="E80" s="15">
        <f t="shared" si="17"/>
        <v>120575.02648</v>
      </c>
      <c r="F80" s="1">
        <f t="shared" ref="F80" si="29">ROUND(SUM(F81:F86),5)</f>
        <v>22890.15998</v>
      </c>
      <c r="G80" s="114">
        <f t="shared" ref="G80:I80" si="30">ROUND(SUM(G81:G86),5)</f>
        <v>21864.391899999999</v>
      </c>
      <c r="H80" s="1">
        <f t="shared" si="30"/>
        <v>22550.079099999999</v>
      </c>
      <c r="I80" s="1">
        <f t="shared" si="30"/>
        <v>22550.079099999999</v>
      </c>
      <c r="J80" s="1">
        <f t="shared" ref="J80" si="31">ROUND(SUM(J81:J86),5)</f>
        <v>30720.3164</v>
      </c>
    </row>
    <row r="81" spans="1:10" x14ac:dyDescent="0.25">
      <c r="A81" s="135"/>
      <c r="B81" s="132"/>
      <c r="C81" s="127"/>
      <c r="D81" s="22" t="s">
        <v>4</v>
      </c>
      <c r="E81" s="18">
        <f t="shared" si="17"/>
        <v>0</v>
      </c>
      <c r="F81" s="2">
        <f t="shared" ref="F81:J81" si="32">ROUND(F88+F95,5)</f>
        <v>0</v>
      </c>
      <c r="G81" s="119">
        <f t="shared" si="32"/>
        <v>0</v>
      </c>
      <c r="H81" s="2">
        <f t="shared" ref="H81:I81" si="33">ROUND(H88+H95,5)</f>
        <v>0</v>
      </c>
      <c r="I81" s="2">
        <f t="shared" si="33"/>
        <v>0</v>
      </c>
      <c r="J81" s="2">
        <f t="shared" si="32"/>
        <v>0</v>
      </c>
    </row>
    <row r="82" spans="1:10" ht="31.5" x14ac:dyDescent="0.25">
      <c r="A82" s="135"/>
      <c r="B82" s="132"/>
      <c r="C82" s="127"/>
      <c r="D82" s="22" t="s">
        <v>5</v>
      </c>
      <c r="E82" s="18">
        <f t="shared" si="17"/>
        <v>59528.1</v>
      </c>
      <c r="F82" s="2">
        <f t="shared" ref="F82:J86" si="34">ROUND(F89+F96,5)</f>
        <v>14935.7</v>
      </c>
      <c r="G82" s="119">
        <f t="shared" si="34"/>
        <v>14852.4</v>
      </c>
      <c r="H82" s="2">
        <f t="shared" ref="H82:I82" si="35">ROUND(H89+H96,5)</f>
        <v>14870</v>
      </c>
      <c r="I82" s="2">
        <f t="shared" si="35"/>
        <v>14870</v>
      </c>
      <c r="J82" s="2">
        <f t="shared" si="34"/>
        <v>0</v>
      </c>
    </row>
    <row r="83" spans="1:10" x14ac:dyDescent="0.25">
      <c r="A83" s="135"/>
      <c r="B83" s="132"/>
      <c r="C83" s="127"/>
      <c r="D83" s="22" t="s">
        <v>6</v>
      </c>
      <c r="E83" s="18">
        <f t="shared" si="17"/>
        <v>61046.926480000002</v>
      </c>
      <c r="F83" s="2">
        <f>ROUND(F90+F97,5)</f>
        <v>7954.4599799999996</v>
      </c>
      <c r="G83" s="119">
        <f>ROUND(G90+G97,5)</f>
        <v>7011.9919</v>
      </c>
      <c r="H83" s="2">
        <f t="shared" ref="H83:I83" si="36">ROUND(H90+H97,5)</f>
        <v>7680.0790999999999</v>
      </c>
      <c r="I83" s="2">
        <f t="shared" si="36"/>
        <v>7680.0790999999999</v>
      </c>
      <c r="J83" s="2">
        <f>ROUND(J90+J97,5)</f>
        <v>30720.3164</v>
      </c>
    </row>
    <row r="84" spans="1:10" ht="33.75" customHeight="1" x14ac:dyDescent="0.25">
      <c r="A84" s="135"/>
      <c r="B84" s="132"/>
      <c r="C84" s="127"/>
      <c r="D84" s="22" t="s">
        <v>8</v>
      </c>
      <c r="E84" s="18">
        <f t="shared" si="17"/>
        <v>0</v>
      </c>
      <c r="F84" s="2">
        <f t="shared" si="34"/>
        <v>0</v>
      </c>
      <c r="G84" s="119">
        <f t="shared" si="34"/>
        <v>0</v>
      </c>
      <c r="H84" s="2">
        <f>ROUND(H91+H98,5)</f>
        <v>0</v>
      </c>
      <c r="I84" s="2">
        <f>ROUND(I91+I98,5)</f>
        <v>0</v>
      </c>
      <c r="J84" s="2">
        <f t="shared" si="34"/>
        <v>0</v>
      </c>
    </row>
    <row r="85" spans="1:10" x14ac:dyDescent="0.25">
      <c r="A85" s="135"/>
      <c r="B85" s="132"/>
      <c r="C85" s="127"/>
      <c r="D85" s="22" t="s">
        <v>18</v>
      </c>
      <c r="E85" s="18">
        <f t="shared" si="17"/>
        <v>0</v>
      </c>
      <c r="F85" s="2">
        <f t="shared" si="34"/>
        <v>0</v>
      </c>
      <c r="G85" s="119">
        <f t="shared" si="34"/>
        <v>0</v>
      </c>
      <c r="H85" s="2">
        <f t="shared" ref="H85:I85" si="37">ROUND(H92+H99,5)</f>
        <v>0</v>
      </c>
      <c r="I85" s="2">
        <f t="shared" si="37"/>
        <v>0</v>
      </c>
      <c r="J85" s="2">
        <f t="shared" si="34"/>
        <v>0</v>
      </c>
    </row>
    <row r="86" spans="1:10" x14ac:dyDescent="0.25">
      <c r="A86" s="135"/>
      <c r="B86" s="132"/>
      <c r="C86" s="127"/>
      <c r="D86" s="22" t="s">
        <v>7</v>
      </c>
      <c r="E86" s="18">
        <f t="shared" si="17"/>
        <v>0</v>
      </c>
      <c r="F86" s="2">
        <f t="shared" si="34"/>
        <v>0</v>
      </c>
      <c r="G86" s="119">
        <f t="shared" si="34"/>
        <v>0</v>
      </c>
      <c r="H86" s="2">
        <f t="shared" ref="H86:I86" si="38">ROUND(H93+H100,5)</f>
        <v>0</v>
      </c>
      <c r="I86" s="2">
        <f t="shared" si="38"/>
        <v>0</v>
      </c>
      <c r="J86" s="2">
        <f t="shared" si="34"/>
        <v>0</v>
      </c>
    </row>
    <row r="87" spans="1:10" s="16" customFormat="1" x14ac:dyDescent="0.25">
      <c r="A87" s="135"/>
      <c r="B87" s="132"/>
      <c r="C87" s="135" t="s">
        <v>81</v>
      </c>
      <c r="D87" s="21" t="s">
        <v>3</v>
      </c>
      <c r="E87" s="15">
        <f t="shared" si="17"/>
        <v>119775.02648</v>
      </c>
      <c r="F87" s="1">
        <f t="shared" ref="F87" si="39">ROUND(SUM(F88:F93),5)</f>
        <v>22790.15998</v>
      </c>
      <c r="G87" s="114">
        <f t="shared" ref="G87:I87" si="40">ROUND(SUM(G88:G93),5)</f>
        <v>21764.391899999999</v>
      </c>
      <c r="H87" s="1">
        <f t="shared" si="40"/>
        <v>22450.079099999999</v>
      </c>
      <c r="I87" s="1">
        <f t="shared" si="40"/>
        <v>22450.079099999999</v>
      </c>
      <c r="J87" s="1">
        <f t="shared" ref="J87" si="41">ROUND(SUM(J88:J93),5)</f>
        <v>30320.3164</v>
      </c>
    </row>
    <row r="88" spans="1:10" x14ac:dyDescent="0.25">
      <c r="A88" s="135"/>
      <c r="B88" s="132"/>
      <c r="C88" s="135"/>
      <c r="D88" s="22" t="s">
        <v>4</v>
      </c>
      <c r="E88" s="18">
        <f t="shared" si="17"/>
        <v>0</v>
      </c>
      <c r="F88" s="23">
        <v>0</v>
      </c>
      <c r="G88" s="117">
        <v>0</v>
      </c>
      <c r="H88" s="23">
        <v>0</v>
      </c>
      <c r="I88" s="23">
        <v>0</v>
      </c>
      <c r="J88" s="23">
        <v>0</v>
      </c>
    </row>
    <row r="89" spans="1:10" ht="31.5" x14ac:dyDescent="0.25">
      <c r="A89" s="135"/>
      <c r="B89" s="132"/>
      <c r="C89" s="135"/>
      <c r="D89" s="22" t="s">
        <v>5</v>
      </c>
      <c r="E89" s="18">
        <f t="shared" si="17"/>
        <v>59528.1</v>
      </c>
      <c r="F89" s="23">
        <f>15325.7-390</f>
        <v>14935.7</v>
      </c>
      <c r="G89" s="117">
        <f>14870-17.6</f>
        <v>14852.4</v>
      </c>
      <c r="H89" s="23">
        <v>14870</v>
      </c>
      <c r="I89" s="23">
        <v>14870</v>
      </c>
      <c r="J89" s="23">
        <v>0</v>
      </c>
    </row>
    <row r="90" spans="1:10" x14ac:dyDescent="0.25">
      <c r="A90" s="135"/>
      <c r="B90" s="132"/>
      <c r="C90" s="135"/>
      <c r="D90" s="22" t="s">
        <v>6</v>
      </c>
      <c r="E90" s="18">
        <f t="shared" si="17"/>
        <v>60246.926480000002</v>
      </c>
      <c r="F90" s="23">
        <f>9062.8-495.5-587.39181-12.278-7.80458-32.64534-25-34.57067-0.18453-12.96509</f>
        <v>7854.4599799999987</v>
      </c>
      <c r="G90" s="117">
        <f>7580.0791+332.90304-515.211-102.098-286.74-55.04-10.406-5.9107-4.26718-28+9.16688+3-5.55615-27.6+34.03871+1.0012-7.368</f>
        <v>6911.9918999999982</v>
      </c>
      <c r="H90" s="23">
        <v>7580.0790999999999</v>
      </c>
      <c r="I90" s="23">
        <v>7580.0790999999999</v>
      </c>
      <c r="J90" s="23">
        <f>4*7580.0791</f>
        <v>30320.3164</v>
      </c>
    </row>
    <row r="91" spans="1:10" ht="33" customHeight="1" x14ac:dyDescent="0.25">
      <c r="A91" s="135"/>
      <c r="B91" s="132"/>
      <c r="C91" s="135"/>
      <c r="D91" s="22" t="s">
        <v>8</v>
      </c>
      <c r="E91" s="18">
        <f t="shared" si="17"/>
        <v>0</v>
      </c>
      <c r="F91" s="23">
        <v>0</v>
      </c>
      <c r="G91" s="117">
        <v>0</v>
      </c>
      <c r="H91" s="23">
        <v>0</v>
      </c>
      <c r="I91" s="23">
        <v>0</v>
      </c>
      <c r="J91" s="23">
        <v>0</v>
      </c>
    </row>
    <row r="92" spans="1:10" x14ac:dyDescent="0.25">
      <c r="A92" s="135"/>
      <c r="B92" s="132"/>
      <c r="C92" s="135"/>
      <c r="D92" s="22" t="s">
        <v>18</v>
      </c>
      <c r="E92" s="18">
        <f t="shared" si="17"/>
        <v>0</v>
      </c>
      <c r="F92" s="23">
        <v>0</v>
      </c>
      <c r="G92" s="117">
        <v>0</v>
      </c>
      <c r="H92" s="23">
        <v>0</v>
      </c>
      <c r="I92" s="23">
        <v>0</v>
      </c>
      <c r="J92" s="23">
        <v>0</v>
      </c>
    </row>
    <row r="93" spans="1:10" x14ac:dyDescent="0.25">
      <c r="A93" s="135"/>
      <c r="B93" s="132"/>
      <c r="C93" s="135"/>
      <c r="D93" s="22" t="s">
        <v>7</v>
      </c>
      <c r="E93" s="18">
        <f t="shared" si="17"/>
        <v>0</v>
      </c>
      <c r="F93" s="23">
        <v>0</v>
      </c>
      <c r="G93" s="117">
        <v>0</v>
      </c>
      <c r="H93" s="23">
        <v>0</v>
      </c>
      <c r="I93" s="23">
        <v>0</v>
      </c>
      <c r="J93" s="23">
        <v>0</v>
      </c>
    </row>
    <row r="94" spans="1:10" s="16" customFormat="1" x14ac:dyDescent="0.25">
      <c r="A94" s="135"/>
      <c r="B94" s="132"/>
      <c r="C94" s="135" t="s">
        <v>68</v>
      </c>
      <c r="D94" s="21" t="s">
        <v>3</v>
      </c>
      <c r="E94" s="15">
        <f t="shared" si="17"/>
        <v>800</v>
      </c>
      <c r="F94" s="1">
        <f t="shared" ref="F94" si="42">ROUND(SUM(F95:F100),5)</f>
        <v>100</v>
      </c>
      <c r="G94" s="114">
        <f t="shared" ref="G94:I94" si="43">ROUND(SUM(G95:G100),5)</f>
        <v>100</v>
      </c>
      <c r="H94" s="1">
        <f t="shared" si="43"/>
        <v>100</v>
      </c>
      <c r="I94" s="1">
        <f t="shared" si="43"/>
        <v>100</v>
      </c>
      <c r="J94" s="1">
        <f t="shared" ref="J94" si="44">ROUND(SUM(J95:J100),5)</f>
        <v>400</v>
      </c>
    </row>
    <row r="95" spans="1:10" x14ac:dyDescent="0.25">
      <c r="A95" s="135"/>
      <c r="B95" s="132"/>
      <c r="C95" s="135"/>
      <c r="D95" s="22" t="s">
        <v>4</v>
      </c>
      <c r="E95" s="18">
        <f t="shared" ref="E95:E107" si="45">ROUND(SUM(F95:J95),5)</f>
        <v>0</v>
      </c>
      <c r="F95" s="23">
        <v>0</v>
      </c>
      <c r="G95" s="117">
        <v>0</v>
      </c>
      <c r="H95" s="23">
        <v>0</v>
      </c>
      <c r="I95" s="23">
        <v>0</v>
      </c>
      <c r="J95" s="23">
        <v>0</v>
      </c>
    </row>
    <row r="96" spans="1:10" ht="31.5" x14ac:dyDescent="0.25">
      <c r="A96" s="135"/>
      <c r="B96" s="132"/>
      <c r="C96" s="135"/>
      <c r="D96" s="22" t="s">
        <v>5</v>
      </c>
      <c r="E96" s="18">
        <f t="shared" si="45"/>
        <v>0</v>
      </c>
      <c r="F96" s="23">
        <v>0</v>
      </c>
      <c r="G96" s="117">
        <v>0</v>
      </c>
      <c r="H96" s="23">
        <v>0</v>
      </c>
      <c r="I96" s="23">
        <v>0</v>
      </c>
      <c r="J96" s="23">
        <v>0</v>
      </c>
    </row>
    <row r="97" spans="1:10" x14ac:dyDescent="0.25">
      <c r="A97" s="135"/>
      <c r="B97" s="132"/>
      <c r="C97" s="135"/>
      <c r="D97" s="22" t="s">
        <v>6</v>
      </c>
      <c r="E97" s="18">
        <f t="shared" si="45"/>
        <v>800</v>
      </c>
      <c r="F97" s="23">
        <v>100</v>
      </c>
      <c r="G97" s="117">
        <v>100</v>
      </c>
      <c r="H97" s="23">
        <v>100</v>
      </c>
      <c r="I97" s="23">
        <v>100</v>
      </c>
      <c r="J97" s="23">
        <f>4*100</f>
        <v>400</v>
      </c>
    </row>
    <row r="98" spans="1:10" ht="33" customHeight="1" x14ac:dyDescent="0.25">
      <c r="A98" s="135"/>
      <c r="B98" s="132"/>
      <c r="C98" s="135"/>
      <c r="D98" s="22" t="s">
        <v>8</v>
      </c>
      <c r="E98" s="18">
        <f t="shared" si="45"/>
        <v>0</v>
      </c>
      <c r="F98" s="23">
        <v>0</v>
      </c>
      <c r="G98" s="117">
        <v>0</v>
      </c>
      <c r="H98" s="23">
        <v>0</v>
      </c>
      <c r="I98" s="23">
        <v>0</v>
      </c>
      <c r="J98" s="23"/>
    </row>
    <row r="99" spans="1:10" x14ac:dyDescent="0.25">
      <c r="A99" s="135"/>
      <c r="B99" s="132"/>
      <c r="C99" s="135"/>
      <c r="D99" s="22" t="s">
        <v>18</v>
      </c>
      <c r="E99" s="18">
        <f t="shared" si="45"/>
        <v>0</v>
      </c>
      <c r="F99" s="23">
        <v>0</v>
      </c>
      <c r="G99" s="117">
        <v>0</v>
      </c>
      <c r="H99" s="23">
        <v>0</v>
      </c>
      <c r="I99" s="23">
        <v>0</v>
      </c>
      <c r="J99" s="23">
        <v>0</v>
      </c>
    </row>
    <row r="100" spans="1:10" x14ac:dyDescent="0.25">
      <c r="A100" s="135"/>
      <c r="B100" s="132"/>
      <c r="C100" s="135"/>
      <c r="D100" s="22" t="s">
        <v>7</v>
      </c>
      <c r="E100" s="18">
        <f t="shared" si="45"/>
        <v>0</v>
      </c>
      <c r="F100" s="23">
        <v>0</v>
      </c>
      <c r="G100" s="117">
        <v>0</v>
      </c>
      <c r="H100" s="23">
        <v>0</v>
      </c>
      <c r="I100" s="23">
        <v>0</v>
      </c>
      <c r="J100" s="23">
        <v>0</v>
      </c>
    </row>
    <row r="101" spans="1:10" s="16" customFormat="1" x14ac:dyDescent="0.25">
      <c r="A101" s="135"/>
      <c r="B101" s="132" t="s">
        <v>9</v>
      </c>
      <c r="C101" s="135"/>
      <c r="D101" s="21" t="s">
        <v>3</v>
      </c>
      <c r="E101" s="15">
        <f t="shared" si="45"/>
        <v>11864759.40914</v>
      </c>
      <c r="F101" s="1">
        <f t="shared" ref="F101" si="46">ROUND(SUM(F102:F107),5)</f>
        <v>2221025.73593</v>
      </c>
      <c r="G101" s="114">
        <f t="shared" ref="G101:I101" si="47">ROUND(SUM(G102:G107),5)</f>
        <v>2412558.7364500002</v>
      </c>
      <c r="H101" s="1">
        <f t="shared" si="47"/>
        <v>2436140.0547400001</v>
      </c>
      <c r="I101" s="1">
        <f t="shared" si="47"/>
        <v>2440532.57106</v>
      </c>
      <c r="J101" s="1">
        <f t="shared" ref="J101" si="48">ROUND(SUM(J102:J107),5)</f>
        <v>2354502.3109599999</v>
      </c>
    </row>
    <row r="102" spans="1:10" x14ac:dyDescent="0.25">
      <c r="A102" s="135"/>
      <c r="B102" s="132"/>
      <c r="C102" s="135"/>
      <c r="D102" s="22" t="s">
        <v>4</v>
      </c>
      <c r="E102" s="18">
        <f t="shared" si="45"/>
        <v>236118.2</v>
      </c>
      <c r="F102" s="23">
        <f t="shared" ref="F102:J104" si="49">ROUND(F25+F32+F39+F74+F81+F11+F18,5)</f>
        <v>51698.8</v>
      </c>
      <c r="G102" s="117">
        <f t="shared" si="49"/>
        <v>78678.5</v>
      </c>
      <c r="H102" s="23">
        <f t="shared" si="49"/>
        <v>54333</v>
      </c>
      <c r="I102" s="23">
        <f t="shared" si="49"/>
        <v>51407.9</v>
      </c>
      <c r="J102" s="23">
        <f t="shared" si="49"/>
        <v>0</v>
      </c>
    </row>
    <row r="103" spans="1:10" ht="31.5" x14ac:dyDescent="0.25">
      <c r="A103" s="135"/>
      <c r="B103" s="132"/>
      <c r="C103" s="135"/>
      <c r="D103" s="22" t="s">
        <v>5</v>
      </c>
      <c r="E103" s="18">
        <f t="shared" si="45"/>
        <v>7063520.4000000004</v>
      </c>
      <c r="F103" s="23">
        <f t="shared" si="49"/>
        <v>1657677.9</v>
      </c>
      <c r="G103" s="117">
        <f t="shared" si="49"/>
        <v>1792724.2</v>
      </c>
      <c r="H103" s="23">
        <f t="shared" si="49"/>
        <v>1805044.7</v>
      </c>
      <c r="I103" s="23">
        <f t="shared" si="49"/>
        <v>1808073.6</v>
      </c>
      <c r="J103" s="23">
        <f t="shared" si="49"/>
        <v>0</v>
      </c>
    </row>
    <row r="104" spans="1:10" x14ac:dyDescent="0.25">
      <c r="A104" s="135"/>
      <c r="B104" s="132"/>
      <c r="C104" s="135"/>
      <c r="D104" s="22" t="s">
        <v>6</v>
      </c>
      <c r="E104" s="18">
        <f t="shared" si="45"/>
        <v>3118697.9652900002</v>
      </c>
      <c r="F104" s="23">
        <f t="shared" si="49"/>
        <v>511649.03593000001</v>
      </c>
      <c r="G104" s="23">
        <f t="shared" si="49"/>
        <v>541156.03645000001</v>
      </c>
      <c r="H104" s="23">
        <f>ROUND(H27+H34+H41+H76+H83+H13+H20,5)</f>
        <v>336252.98333000002</v>
      </c>
      <c r="I104" s="23">
        <f t="shared" si="49"/>
        <v>339937.59862</v>
      </c>
      <c r="J104" s="23">
        <f t="shared" si="49"/>
        <v>1389702.3109599999</v>
      </c>
    </row>
    <row r="105" spans="1:10" ht="39.75" customHeight="1" x14ac:dyDescent="0.25">
      <c r="A105" s="135"/>
      <c r="B105" s="132"/>
      <c r="C105" s="135"/>
      <c r="D105" s="22" t="s">
        <v>8</v>
      </c>
      <c r="E105" s="18">
        <f t="shared" si="45"/>
        <v>0</v>
      </c>
      <c r="F105" s="23">
        <f t="shared" ref="F105:J106" si="50">ROUND(F28+F35+F42+F77+F84+F14,5)</f>
        <v>0</v>
      </c>
      <c r="G105" s="117">
        <f t="shared" si="50"/>
        <v>0</v>
      </c>
      <c r="H105" s="23">
        <f t="shared" si="50"/>
        <v>0</v>
      </c>
      <c r="I105" s="23">
        <f t="shared" si="50"/>
        <v>0</v>
      </c>
      <c r="J105" s="23">
        <f t="shared" si="50"/>
        <v>0</v>
      </c>
    </row>
    <row r="106" spans="1:10" x14ac:dyDescent="0.25">
      <c r="A106" s="135"/>
      <c r="B106" s="132"/>
      <c r="C106" s="135"/>
      <c r="D106" s="22" t="s">
        <v>18</v>
      </c>
      <c r="E106" s="18">
        <f t="shared" si="45"/>
        <v>0</v>
      </c>
      <c r="F106" s="23">
        <f t="shared" si="50"/>
        <v>0</v>
      </c>
      <c r="G106" s="117">
        <f t="shared" si="50"/>
        <v>0</v>
      </c>
      <c r="H106" s="23">
        <f t="shared" si="50"/>
        <v>0</v>
      </c>
      <c r="I106" s="23">
        <f t="shared" si="50"/>
        <v>0</v>
      </c>
      <c r="J106" s="23">
        <f t="shared" si="50"/>
        <v>0</v>
      </c>
    </row>
    <row r="107" spans="1:10" x14ac:dyDescent="0.25">
      <c r="A107" s="135"/>
      <c r="B107" s="132"/>
      <c r="C107" s="135"/>
      <c r="D107" s="22" t="s">
        <v>7</v>
      </c>
      <c r="E107" s="18">
        <f t="shared" si="45"/>
        <v>1446422.8438500001</v>
      </c>
      <c r="F107" s="23">
        <f>ROUND(F30+F37+F44+F79+F86+F16+F23,5)</f>
        <v>0</v>
      </c>
      <c r="G107" s="117">
        <f>ROUND(G30+G37+G44+G79+G86+G16+G23,5)</f>
        <v>0</v>
      </c>
      <c r="H107" s="23">
        <f>ROUND(H30+H37+H44+H79+H86+H16+H23,5)</f>
        <v>240509.37140999999</v>
      </c>
      <c r="I107" s="23">
        <f>ROUND(I30+I37+I44+I79+I86+I16+I23,5)</f>
        <v>241113.47244000001</v>
      </c>
      <c r="J107" s="23">
        <f>ROUND(J30+J37+J44+J79+J86+J16+J23,5)</f>
        <v>964800</v>
      </c>
    </row>
    <row r="108" spans="1:10" x14ac:dyDescent="0.25">
      <c r="A108" s="147" t="s">
        <v>10</v>
      </c>
      <c r="B108" s="147"/>
      <c r="C108" s="147"/>
      <c r="D108" s="147"/>
      <c r="E108" s="147"/>
      <c r="F108" s="147"/>
      <c r="G108" s="147"/>
      <c r="H108" s="147"/>
      <c r="I108" s="147"/>
      <c r="J108" s="147"/>
    </row>
    <row r="109" spans="1:10" s="16" customFormat="1" x14ac:dyDescent="0.25">
      <c r="A109" s="127" t="s">
        <v>27</v>
      </c>
      <c r="B109" s="128" t="s">
        <v>85</v>
      </c>
      <c r="C109" s="127" t="s">
        <v>78</v>
      </c>
      <c r="D109" s="14" t="s">
        <v>3</v>
      </c>
      <c r="E109" s="15">
        <f t="shared" ref="E109:E143" si="51">ROUND(SUM(F109:J109),5)</f>
        <v>0</v>
      </c>
      <c r="F109" s="1">
        <f t="shared" ref="F109" si="52">ROUND(SUM(F110:F115),5)</f>
        <v>0</v>
      </c>
      <c r="G109" s="114">
        <f t="shared" ref="G109:I109" si="53">ROUND(SUM(G110:G115),5)</f>
        <v>0</v>
      </c>
      <c r="H109" s="1">
        <f t="shared" si="53"/>
        <v>0</v>
      </c>
      <c r="I109" s="1">
        <f t="shared" si="53"/>
        <v>0</v>
      </c>
      <c r="J109" s="1">
        <f t="shared" ref="J109" si="54">ROUND(SUM(J110:J115),5)</f>
        <v>0</v>
      </c>
    </row>
    <row r="110" spans="1:10" x14ac:dyDescent="0.25">
      <c r="A110" s="127"/>
      <c r="B110" s="128"/>
      <c r="C110" s="127"/>
      <c r="D110" s="17" t="s">
        <v>4</v>
      </c>
      <c r="E110" s="18">
        <f t="shared" si="51"/>
        <v>0</v>
      </c>
      <c r="F110" s="19">
        <v>0</v>
      </c>
      <c r="G110" s="115">
        <v>0</v>
      </c>
      <c r="H110" s="19">
        <v>0</v>
      </c>
      <c r="I110" s="19">
        <v>0</v>
      </c>
      <c r="J110" s="19">
        <v>0</v>
      </c>
    </row>
    <row r="111" spans="1:10" ht="30.75" customHeight="1" x14ac:dyDescent="0.25">
      <c r="A111" s="127"/>
      <c r="B111" s="128"/>
      <c r="C111" s="127"/>
      <c r="D111" s="17" t="s">
        <v>5</v>
      </c>
      <c r="E111" s="18">
        <f t="shared" si="51"/>
        <v>0</v>
      </c>
      <c r="F111" s="19">
        <v>0</v>
      </c>
      <c r="G111" s="115">
        <v>0</v>
      </c>
      <c r="H111" s="19">
        <v>0</v>
      </c>
      <c r="I111" s="19">
        <v>0</v>
      </c>
      <c r="J111" s="19">
        <v>0</v>
      </c>
    </row>
    <row r="112" spans="1:10" x14ac:dyDescent="0.25">
      <c r="A112" s="127"/>
      <c r="B112" s="128"/>
      <c r="C112" s="127"/>
      <c r="D112" s="17" t="s">
        <v>6</v>
      </c>
      <c r="E112" s="18">
        <f t="shared" si="51"/>
        <v>0</v>
      </c>
      <c r="F112" s="20">
        <v>0</v>
      </c>
      <c r="G112" s="116">
        <v>0</v>
      </c>
      <c r="H112" s="20">
        <v>0</v>
      </c>
      <c r="I112" s="20">
        <v>0</v>
      </c>
      <c r="J112" s="20">
        <v>0</v>
      </c>
    </row>
    <row r="113" spans="1:10" ht="31.5" x14ac:dyDescent="0.25">
      <c r="A113" s="127"/>
      <c r="B113" s="128"/>
      <c r="C113" s="127"/>
      <c r="D113" s="17" t="s">
        <v>8</v>
      </c>
      <c r="E113" s="18">
        <f t="shared" si="51"/>
        <v>0</v>
      </c>
      <c r="F113" s="19">
        <v>0</v>
      </c>
      <c r="G113" s="115">
        <v>0</v>
      </c>
      <c r="H113" s="19">
        <v>0</v>
      </c>
      <c r="I113" s="19">
        <v>0</v>
      </c>
      <c r="J113" s="19">
        <v>0</v>
      </c>
    </row>
    <row r="114" spans="1:10" x14ac:dyDescent="0.25">
      <c r="A114" s="127"/>
      <c r="B114" s="128"/>
      <c r="C114" s="127"/>
      <c r="D114" s="17" t="s">
        <v>18</v>
      </c>
      <c r="E114" s="18">
        <f t="shared" si="51"/>
        <v>0</v>
      </c>
      <c r="F114" s="19">
        <v>0</v>
      </c>
      <c r="G114" s="115">
        <v>0</v>
      </c>
      <c r="H114" s="19">
        <v>0</v>
      </c>
      <c r="I114" s="19">
        <v>0</v>
      </c>
      <c r="J114" s="19">
        <v>0</v>
      </c>
    </row>
    <row r="115" spans="1:10" x14ac:dyDescent="0.25">
      <c r="A115" s="127"/>
      <c r="B115" s="128"/>
      <c r="C115" s="127"/>
      <c r="D115" s="17" t="s">
        <v>7</v>
      </c>
      <c r="E115" s="18">
        <f t="shared" si="51"/>
        <v>0</v>
      </c>
      <c r="F115" s="19">
        <v>0</v>
      </c>
      <c r="G115" s="115">
        <v>0</v>
      </c>
      <c r="H115" s="19">
        <v>0</v>
      </c>
      <c r="I115" s="19">
        <v>0</v>
      </c>
      <c r="J115" s="19">
        <v>0</v>
      </c>
    </row>
    <row r="116" spans="1:10" s="16" customFormat="1" x14ac:dyDescent="0.25">
      <c r="A116" s="127" t="s">
        <v>28</v>
      </c>
      <c r="B116" s="128" t="s">
        <v>86</v>
      </c>
      <c r="C116" s="127" t="s">
        <v>78</v>
      </c>
      <c r="D116" s="14" t="s">
        <v>3</v>
      </c>
      <c r="E116" s="15">
        <f t="shared" si="51"/>
        <v>0</v>
      </c>
      <c r="F116" s="1">
        <f t="shared" ref="F116" si="55">ROUND(SUM(F117:F122),5)</f>
        <v>0</v>
      </c>
      <c r="G116" s="114">
        <f t="shared" ref="G116:I116" si="56">ROUND(SUM(G117:G122),5)</f>
        <v>0</v>
      </c>
      <c r="H116" s="1">
        <f t="shared" si="56"/>
        <v>0</v>
      </c>
      <c r="I116" s="1">
        <f t="shared" si="56"/>
        <v>0</v>
      </c>
      <c r="J116" s="1">
        <f t="shared" ref="J116" si="57">ROUND(SUM(J117:J122),5)</f>
        <v>0</v>
      </c>
    </row>
    <row r="117" spans="1:10" x14ac:dyDescent="0.25">
      <c r="A117" s="127"/>
      <c r="B117" s="128"/>
      <c r="C117" s="127"/>
      <c r="D117" s="17" t="s">
        <v>4</v>
      </c>
      <c r="E117" s="18">
        <f t="shared" si="51"/>
        <v>0</v>
      </c>
      <c r="F117" s="23">
        <v>0</v>
      </c>
      <c r="G117" s="117">
        <v>0</v>
      </c>
      <c r="H117" s="23">
        <v>0</v>
      </c>
      <c r="I117" s="23">
        <v>0</v>
      </c>
      <c r="J117" s="23">
        <v>0</v>
      </c>
    </row>
    <row r="118" spans="1:10" ht="31.5" x14ac:dyDescent="0.25">
      <c r="A118" s="127"/>
      <c r="B118" s="128"/>
      <c r="C118" s="127"/>
      <c r="D118" s="17" t="s">
        <v>5</v>
      </c>
      <c r="E118" s="18">
        <f t="shared" si="51"/>
        <v>0</v>
      </c>
      <c r="F118" s="23">
        <v>0</v>
      </c>
      <c r="G118" s="117">
        <v>0</v>
      </c>
      <c r="H118" s="23">
        <v>0</v>
      </c>
      <c r="I118" s="23">
        <v>0</v>
      </c>
      <c r="J118" s="23">
        <v>0</v>
      </c>
    </row>
    <row r="119" spans="1:10" x14ac:dyDescent="0.25">
      <c r="A119" s="127"/>
      <c r="B119" s="128"/>
      <c r="C119" s="127"/>
      <c r="D119" s="17" t="s">
        <v>6</v>
      </c>
      <c r="E119" s="18">
        <f t="shared" si="51"/>
        <v>0</v>
      </c>
      <c r="F119" s="30">
        <f>8218.36+13110.58045-21328.94045</f>
        <v>0</v>
      </c>
      <c r="G119" s="120">
        <f>8450.608-8450.608</f>
        <v>0</v>
      </c>
      <c r="H119" s="30">
        <f>8692.145-8692.145</f>
        <v>0</v>
      </c>
      <c r="I119" s="30">
        <f>8692.145-8692.145</f>
        <v>0</v>
      </c>
      <c r="J119" s="30">
        <f>4*8692.145-34768.58</f>
        <v>0</v>
      </c>
    </row>
    <row r="120" spans="1:10" ht="31.5" x14ac:dyDescent="0.25">
      <c r="A120" s="127"/>
      <c r="B120" s="128"/>
      <c r="C120" s="127"/>
      <c r="D120" s="17" t="s">
        <v>8</v>
      </c>
      <c r="E120" s="18">
        <f t="shared" si="51"/>
        <v>0</v>
      </c>
      <c r="F120" s="23">
        <v>0</v>
      </c>
      <c r="G120" s="117">
        <v>0</v>
      </c>
      <c r="H120" s="23">
        <v>0</v>
      </c>
      <c r="I120" s="23">
        <v>0</v>
      </c>
      <c r="J120" s="23">
        <v>0</v>
      </c>
    </row>
    <row r="121" spans="1:10" x14ac:dyDescent="0.25">
      <c r="A121" s="127"/>
      <c r="B121" s="128"/>
      <c r="C121" s="127"/>
      <c r="D121" s="17" t="s">
        <v>18</v>
      </c>
      <c r="E121" s="18">
        <f t="shared" si="51"/>
        <v>0</v>
      </c>
      <c r="F121" s="23">
        <v>0</v>
      </c>
      <c r="G121" s="117">
        <v>0</v>
      </c>
      <c r="H121" s="23">
        <v>0</v>
      </c>
      <c r="I121" s="23">
        <v>0</v>
      </c>
      <c r="J121" s="23">
        <v>0</v>
      </c>
    </row>
    <row r="122" spans="1:10" ht="18" customHeight="1" x14ac:dyDescent="0.25">
      <c r="A122" s="127"/>
      <c r="B122" s="128"/>
      <c r="C122" s="127"/>
      <c r="D122" s="17" t="s">
        <v>7</v>
      </c>
      <c r="E122" s="18">
        <f t="shared" si="51"/>
        <v>0</v>
      </c>
      <c r="F122" s="23">
        <f>3698.46907-3698.46907</f>
        <v>0</v>
      </c>
      <c r="G122" s="117">
        <v>0</v>
      </c>
      <c r="H122" s="23">
        <v>0</v>
      </c>
      <c r="I122" s="23">
        <v>0</v>
      </c>
      <c r="J122" s="23">
        <v>0</v>
      </c>
    </row>
    <row r="123" spans="1:10" s="16" customFormat="1" x14ac:dyDescent="0.25">
      <c r="A123" s="127" t="s">
        <v>35</v>
      </c>
      <c r="B123" s="128" t="s">
        <v>87</v>
      </c>
      <c r="C123" s="127" t="s">
        <v>78</v>
      </c>
      <c r="D123" s="14" t="s">
        <v>3</v>
      </c>
      <c r="E123" s="15">
        <f t="shared" si="51"/>
        <v>0</v>
      </c>
      <c r="F123" s="1">
        <f t="shared" ref="F123" si="58">ROUND(SUM(F124:F129),5)</f>
        <v>0</v>
      </c>
      <c r="G123" s="114">
        <f t="shared" ref="G123:I123" si="59">ROUND(SUM(G124:G129),5)</f>
        <v>0</v>
      </c>
      <c r="H123" s="1">
        <f t="shared" si="59"/>
        <v>0</v>
      </c>
      <c r="I123" s="1">
        <f t="shared" si="59"/>
        <v>0</v>
      </c>
      <c r="J123" s="1">
        <f t="shared" ref="J123" si="60">ROUND(SUM(J124:J129),5)</f>
        <v>0</v>
      </c>
    </row>
    <row r="124" spans="1:10" x14ac:dyDescent="0.25">
      <c r="A124" s="127"/>
      <c r="B124" s="128"/>
      <c r="C124" s="127"/>
      <c r="D124" s="17" t="s">
        <v>4</v>
      </c>
      <c r="E124" s="18">
        <f t="shared" si="51"/>
        <v>0</v>
      </c>
      <c r="F124" s="23">
        <v>0</v>
      </c>
      <c r="G124" s="117">
        <v>0</v>
      </c>
      <c r="H124" s="23">
        <v>0</v>
      </c>
      <c r="I124" s="23">
        <v>0</v>
      </c>
      <c r="J124" s="23">
        <v>0</v>
      </c>
    </row>
    <row r="125" spans="1:10" ht="31.5" x14ac:dyDescent="0.25">
      <c r="A125" s="127"/>
      <c r="B125" s="128"/>
      <c r="C125" s="127"/>
      <c r="D125" s="17" t="s">
        <v>5</v>
      </c>
      <c r="E125" s="18">
        <f t="shared" si="51"/>
        <v>0</v>
      </c>
      <c r="F125" s="27">
        <v>0</v>
      </c>
      <c r="G125" s="118">
        <v>0</v>
      </c>
      <c r="H125" s="27">
        <v>0</v>
      </c>
      <c r="I125" s="27">
        <v>0</v>
      </c>
      <c r="J125" s="27">
        <v>0</v>
      </c>
    </row>
    <row r="126" spans="1:10" x14ac:dyDescent="0.25">
      <c r="A126" s="127"/>
      <c r="B126" s="128"/>
      <c r="C126" s="127"/>
      <c r="D126" s="17" t="s">
        <v>6</v>
      </c>
      <c r="E126" s="18">
        <f t="shared" si="51"/>
        <v>0</v>
      </c>
      <c r="F126" s="30">
        <f>1898.43-1898.43</f>
        <v>0</v>
      </c>
      <c r="G126" s="120">
        <f>1898.43-1898.43</f>
        <v>0</v>
      </c>
      <c r="H126" s="30">
        <f>1898.43-1898.43</f>
        <v>0</v>
      </c>
      <c r="I126" s="30">
        <f>1898.43-1898.43</f>
        <v>0</v>
      </c>
      <c r="J126" s="30">
        <f>4*1898.43-7593.72</f>
        <v>0</v>
      </c>
    </row>
    <row r="127" spans="1:10" ht="27.75" customHeight="1" x14ac:dyDescent="0.25">
      <c r="A127" s="127"/>
      <c r="B127" s="128"/>
      <c r="C127" s="127"/>
      <c r="D127" s="17" t="s">
        <v>8</v>
      </c>
      <c r="E127" s="18">
        <f t="shared" si="51"/>
        <v>0</v>
      </c>
      <c r="F127" s="27">
        <v>0</v>
      </c>
      <c r="G127" s="118">
        <v>0</v>
      </c>
      <c r="H127" s="27">
        <v>0</v>
      </c>
      <c r="I127" s="27">
        <v>0</v>
      </c>
      <c r="J127" s="27">
        <v>0</v>
      </c>
    </row>
    <row r="128" spans="1:10" x14ac:dyDescent="0.25">
      <c r="A128" s="127"/>
      <c r="B128" s="128"/>
      <c r="C128" s="127"/>
      <c r="D128" s="17" t="s">
        <v>18</v>
      </c>
      <c r="E128" s="18">
        <f t="shared" si="51"/>
        <v>0</v>
      </c>
      <c r="F128" s="27">
        <v>0</v>
      </c>
      <c r="G128" s="118">
        <v>0</v>
      </c>
      <c r="H128" s="27">
        <v>0</v>
      </c>
      <c r="I128" s="27">
        <v>0</v>
      </c>
      <c r="J128" s="27">
        <v>0</v>
      </c>
    </row>
    <row r="129" spans="1:10" x14ac:dyDescent="0.25">
      <c r="A129" s="127"/>
      <c r="B129" s="128"/>
      <c r="C129" s="127"/>
      <c r="D129" s="17" t="s">
        <v>7</v>
      </c>
      <c r="E129" s="18">
        <f t="shared" si="51"/>
        <v>0</v>
      </c>
      <c r="F129" s="27">
        <v>0</v>
      </c>
      <c r="G129" s="118">
        <v>0</v>
      </c>
      <c r="H129" s="27">
        <v>0</v>
      </c>
      <c r="I129" s="27">
        <v>0</v>
      </c>
      <c r="J129" s="27">
        <v>0</v>
      </c>
    </row>
    <row r="130" spans="1:10" x14ac:dyDescent="0.25">
      <c r="A130" s="127" t="s">
        <v>52</v>
      </c>
      <c r="B130" s="128" t="s">
        <v>88</v>
      </c>
      <c r="C130" s="127" t="s">
        <v>78</v>
      </c>
      <c r="D130" s="14" t="s">
        <v>3</v>
      </c>
      <c r="E130" s="15">
        <f t="shared" si="51"/>
        <v>0</v>
      </c>
      <c r="F130" s="1">
        <f t="shared" ref="F130" si="61">ROUND(SUM(F131:F136),5)</f>
        <v>0</v>
      </c>
      <c r="G130" s="114">
        <f t="shared" ref="G130:I130" si="62">ROUND(SUM(G131:G136),5)</f>
        <v>0</v>
      </c>
      <c r="H130" s="1">
        <f t="shared" si="62"/>
        <v>0</v>
      </c>
      <c r="I130" s="1">
        <f t="shared" si="62"/>
        <v>0</v>
      </c>
      <c r="J130" s="1">
        <f t="shared" ref="J130" si="63">ROUND(SUM(J131:J136),5)</f>
        <v>0</v>
      </c>
    </row>
    <row r="131" spans="1:10" x14ac:dyDescent="0.25">
      <c r="A131" s="127"/>
      <c r="B131" s="128"/>
      <c r="C131" s="127"/>
      <c r="D131" s="17" t="s">
        <v>4</v>
      </c>
      <c r="E131" s="18">
        <f t="shared" si="51"/>
        <v>0</v>
      </c>
      <c r="F131" s="27">
        <v>0</v>
      </c>
      <c r="G131" s="118">
        <v>0</v>
      </c>
      <c r="H131" s="27">
        <v>0</v>
      </c>
      <c r="I131" s="27">
        <v>0</v>
      </c>
      <c r="J131" s="27">
        <v>0</v>
      </c>
    </row>
    <row r="132" spans="1:10" ht="31.5" x14ac:dyDescent="0.25">
      <c r="A132" s="127"/>
      <c r="B132" s="128"/>
      <c r="C132" s="127"/>
      <c r="D132" s="17" t="s">
        <v>5</v>
      </c>
      <c r="E132" s="18">
        <f t="shared" si="51"/>
        <v>0</v>
      </c>
      <c r="F132" s="27">
        <v>0</v>
      </c>
      <c r="G132" s="118">
        <v>0</v>
      </c>
      <c r="H132" s="27">
        <v>0</v>
      </c>
      <c r="I132" s="27">
        <v>0</v>
      </c>
      <c r="J132" s="27">
        <v>0</v>
      </c>
    </row>
    <row r="133" spans="1:10" x14ac:dyDescent="0.25">
      <c r="A133" s="127"/>
      <c r="B133" s="128"/>
      <c r="C133" s="127"/>
      <c r="D133" s="17" t="s">
        <v>6</v>
      </c>
      <c r="E133" s="18">
        <f t="shared" si="51"/>
        <v>0</v>
      </c>
      <c r="F133" s="30">
        <f>17347.965-17347.965</f>
        <v>0</v>
      </c>
      <c r="G133" s="120">
        <f>10675.965-10675.965</f>
        <v>0</v>
      </c>
      <c r="H133" s="30">
        <f>10675.965-10675.965</f>
        <v>0</v>
      </c>
      <c r="I133" s="30">
        <f>11000-11000</f>
        <v>0</v>
      </c>
      <c r="J133" s="30">
        <f>4*11000-44000</f>
        <v>0</v>
      </c>
    </row>
    <row r="134" spans="1:10" ht="31.5" x14ac:dyDescent="0.25">
      <c r="A134" s="127"/>
      <c r="B134" s="128"/>
      <c r="C134" s="127"/>
      <c r="D134" s="17" t="s">
        <v>8</v>
      </c>
      <c r="E134" s="18">
        <f t="shared" si="51"/>
        <v>0</v>
      </c>
      <c r="F134" s="27">
        <v>0</v>
      </c>
      <c r="G134" s="118">
        <v>0</v>
      </c>
      <c r="H134" s="27">
        <v>0</v>
      </c>
      <c r="I134" s="27">
        <v>0</v>
      </c>
      <c r="J134" s="27">
        <v>0</v>
      </c>
    </row>
    <row r="135" spans="1:10" x14ac:dyDescent="0.25">
      <c r="A135" s="127"/>
      <c r="B135" s="128"/>
      <c r="C135" s="127"/>
      <c r="D135" s="17" t="s">
        <v>18</v>
      </c>
      <c r="E135" s="18">
        <f t="shared" si="51"/>
        <v>0</v>
      </c>
      <c r="F135" s="27">
        <v>0</v>
      </c>
      <c r="G135" s="118">
        <v>0</v>
      </c>
      <c r="H135" s="27">
        <v>0</v>
      </c>
      <c r="I135" s="27">
        <v>0</v>
      </c>
      <c r="J135" s="27">
        <v>0</v>
      </c>
    </row>
    <row r="136" spans="1:10" ht="27.75" customHeight="1" x14ac:dyDescent="0.25">
      <c r="A136" s="127"/>
      <c r="B136" s="128"/>
      <c r="C136" s="127"/>
      <c r="D136" s="17" t="s">
        <v>7</v>
      </c>
      <c r="E136" s="18">
        <f t="shared" si="51"/>
        <v>0</v>
      </c>
      <c r="F136" s="27">
        <f>4004.38828-4004.38828</f>
        <v>0</v>
      </c>
      <c r="G136" s="118">
        <f>10676.38828-10676.38828</f>
        <v>0</v>
      </c>
      <c r="H136" s="27">
        <f>10676.38828-10676.38828</f>
        <v>0</v>
      </c>
      <c r="I136" s="27">
        <f>11000-11000</f>
        <v>0</v>
      </c>
      <c r="J136" s="27">
        <f>11000*4-44000</f>
        <v>0</v>
      </c>
    </row>
    <row r="137" spans="1:10" s="16" customFormat="1" x14ac:dyDescent="0.25">
      <c r="A137" s="127"/>
      <c r="B137" s="128" t="s">
        <v>11</v>
      </c>
      <c r="C137" s="127"/>
      <c r="D137" s="14" t="s">
        <v>3</v>
      </c>
      <c r="E137" s="15">
        <f t="shared" si="51"/>
        <v>0</v>
      </c>
      <c r="F137" s="1">
        <f t="shared" ref="F137" si="64">ROUND(SUM(F138:F143),5)</f>
        <v>0</v>
      </c>
      <c r="G137" s="114">
        <f t="shared" ref="G137:I137" si="65">ROUND(SUM(G138:G143),5)</f>
        <v>0</v>
      </c>
      <c r="H137" s="1">
        <f t="shared" si="65"/>
        <v>0</v>
      </c>
      <c r="I137" s="1">
        <f t="shared" si="65"/>
        <v>0</v>
      </c>
      <c r="J137" s="1">
        <f t="shared" ref="J137" si="66">ROUND(SUM(J138:J143),5)</f>
        <v>0</v>
      </c>
    </row>
    <row r="138" spans="1:10" x14ac:dyDescent="0.25">
      <c r="A138" s="127"/>
      <c r="B138" s="128"/>
      <c r="C138" s="127"/>
      <c r="D138" s="17" t="s">
        <v>4</v>
      </c>
      <c r="E138" s="18">
        <f t="shared" si="51"/>
        <v>0</v>
      </c>
      <c r="F138" s="18">
        <f t="shared" ref="F138:J138" si="67">ROUND(F117+F124+F131+F110,5)</f>
        <v>0</v>
      </c>
      <c r="G138" s="121">
        <f t="shared" si="67"/>
        <v>0</v>
      </c>
      <c r="H138" s="18">
        <f t="shared" ref="H138:I138" si="68">ROUND(H117+H124+H131+H110,5)</f>
        <v>0</v>
      </c>
      <c r="I138" s="18">
        <f t="shared" si="68"/>
        <v>0</v>
      </c>
      <c r="J138" s="18">
        <f t="shared" si="67"/>
        <v>0</v>
      </c>
    </row>
    <row r="139" spans="1:10" ht="31.5" x14ac:dyDescent="0.25">
      <c r="A139" s="127"/>
      <c r="B139" s="128"/>
      <c r="C139" s="127"/>
      <c r="D139" s="17" t="s">
        <v>5</v>
      </c>
      <c r="E139" s="18">
        <f t="shared" si="51"/>
        <v>0</v>
      </c>
      <c r="F139" s="18">
        <f t="shared" ref="F139:J139" si="69">ROUND(F118+F125+F132+F111,5)</f>
        <v>0</v>
      </c>
      <c r="G139" s="121">
        <f t="shared" si="69"/>
        <v>0</v>
      </c>
      <c r="H139" s="18">
        <f t="shared" ref="H139:I139" si="70">ROUND(H118+H125+H132+H111,5)</f>
        <v>0</v>
      </c>
      <c r="I139" s="18">
        <f t="shared" si="70"/>
        <v>0</v>
      </c>
      <c r="J139" s="18">
        <f t="shared" si="69"/>
        <v>0</v>
      </c>
    </row>
    <row r="140" spans="1:10" x14ac:dyDescent="0.25">
      <c r="A140" s="127"/>
      <c r="B140" s="128"/>
      <c r="C140" s="127"/>
      <c r="D140" s="17" t="s">
        <v>6</v>
      </c>
      <c r="E140" s="18">
        <f t="shared" si="51"/>
        <v>0</v>
      </c>
      <c r="F140" s="18">
        <f t="shared" ref="F140:J140" si="71">ROUND(F119+F126+F133+F112,5)</f>
        <v>0</v>
      </c>
      <c r="G140" s="121">
        <f t="shared" si="71"/>
        <v>0</v>
      </c>
      <c r="H140" s="18">
        <f t="shared" ref="H140:I140" si="72">ROUND(H119+H126+H133+H112,5)</f>
        <v>0</v>
      </c>
      <c r="I140" s="18">
        <f t="shared" si="72"/>
        <v>0</v>
      </c>
      <c r="J140" s="18">
        <f t="shared" si="71"/>
        <v>0</v>
      </c>
    </row>
    <row r="141" spans="1:10" ht="31.5" x14ac:dyDescent="0.25">
      <c r="A141" s="127"/>
      <c r="B141" s="128"/>
      <c r="C141" s="127"/>
      <c r="D141" s="17" t="s">
        <v>8</v>
      </c>
      <c r="E141" s="18">
        <f t="shared" si="51"/>
        <v>0</v>
      </c>
      <c r="F141" s="18">
        <f t="shared" ref="F141:J141" si="73">ROUND(F120+F127+F134+F113,5)</f>
        <v>0</v>
      </c>
      <c r="G141" s="121">
        <f t="shared" si="73"/>
        <v>0</v>
      </c>
      <c r="H141" s="18">
        <f t="shared" ref="H141:I141" si="74">ROUND(H120+H127+H134+H113,5)</f>
        <v>0</v>
      </c>
      <c r="I141" s="18">
        <f t="shared" si="74"/>
        <v>0</v>
      </c>
      <c r="J141" s="18">
        <f t="shared" si="73"/>
        <v>0</v>
      </c>
    </row>
    <row r="142" spans="1:10" x14ac:dyDescent="0.25">
      <c r="A142" s="127"/>
      <c r="B142" s="128"/>
      <c r="C142" s="127"/>
      <c r="D142" s="17" t="s">
        <v>18</v>
      </c>
      <c r="E142" s="18">
        <f t="shared" si="51"/>
        <v>0</v>
      </c>
      <c r="F142" s="18">
        <f t="shared" ref="F142:J142" si="75">ROUND(F121+F128+F135+F114,5)</f>
        <v>0</v>
      </c>
      <c r="G142" s="121">
        <f t="shared" si="75"/>
        <v>0</v>
      </c>
      <c r="H142" s="18">
        <f t="shared" ref="H142:I142" si="76">ROUND(H121+H128+H135+H114,5)</f>
        <v>0</v>
      </c>
      <c r="I142" s="18">
        <f t="shared" si="76"/>
        <v>0</v>
      </c>
      <c r="J142" s="18">
        <f t="shared" si="75"/>
        <v>0</v>
      </c>
    </row>
    <row r="143" spans="1:10" x14ac:dyDescent="0.25">
      <c r="A143" s="127"/>
      <c r="B143" s="128"/>
      <c r="C143" s="127"/>
      <c r="D143" s="17" t="s">
        <v>7</v>
      </c>
      <c r="E143" s="18">
        <f t="shared" si="51"/>
        <v>0</v>
      </c>
      <c r="F143" s="18">
        <f t="shared" ref="F143:J143" si="77">ROUND(F122+F129+F136+F115,5)</f>
        <v>0</v>
      </c>
      <c r="G143" s="121">
        <f t="shared" si="77"/>
        <v>0</v>
      </c>
      <c r="H143" s="18">
        <f t="shared" ref="H143:I143" si="78">ROUND(H122+H129+H136+H115,5)</f>
        <v>0</v>
      </c>
      <c r="I143" s="18">
        <f t="shared" si="78"/>
        <v>0</v>
      </c>
      <c r="J143" s="18">
        <f t="shared" si="77"/>
        <v>0</v>
      </c>
    </row>
    <row r="144" spans="1:10" x14ac:dyDescent="0.25">
      <c r="A144" s="136" t="s">
        <v>33</v>
      </c>
      <c r="B144" s="136"/>
      <c r="C144" s="136"/>
      <c r="D144" s="136"/>
      <c r="E144" s="136"/>
      <c r="F144" s="136"/>
      <c r="G144" s="136"/>
      <c r="H144" s="136"/>
      <c r="I144" s="136"/>
      <c r="J144" s="136"/>
    </row>
    <row r="145" spans="1:10" s="16" customFormat="1" x14ac:dyDescent="0.25">
      <c r="A145" s="127" t="s">
        <v>29</v>
      </c>
      <c r="B145" s="128" t="s">
        <v>59</v>
      </c>
      <c r="C145" s="127" t="s">
        <v>45</v>
      </c>
      <c r="D145" s="14" t="s">
        <v>3</v>
      </c>
      <c r="E145" s="15">
        <f>ROUND(SUM(F145:J145),5)</f>
        <v>0</v>
      </c>
      <c r="F145" s="15">
        <f>ROUND(SUM(F146:F151),5)</f>
        <v>0</v>
      </c>
      <c r="G145" s="122">
        <f>ROUND(SUM(G146:G151),5)</f>
        <v>0</v>
      </c>
      <c r="H145" s="15">
        <f>ROUND(SUM(H146:H151),5)</f>
        <v>0</v>
      </c>
      <c r="I145" s="15">
        <f>ROUND(SUM(I146:I151),5)</f>
        <v>0</v>
      </c>
      <c r="J145" s="15">
        <f>ROUND(SUM(J146:J151),5)</f>
        <v>0</v>
      </c>
    </row>
    <row r="146" spans="1:10" x14ac:dyDescent="0.25">
      <c r="A146" s="127"/>
      <c r="B146" s="128"/>
      <c r="C146" s="127"/>
      <c r="D146" s="17" t="s">
        <v>4</v>
      </c>
      <c r="E146" s="18">
        <f t="shared" ref="E146:E151" si="79">SUM(F146:J146)</f>
        <v>0</v>
      </c>
      <c r="F146" s="18">
        <v>0</v>
      </c>
      <c r="G146" s="121">
        <v>0</v>
      </c>
      <c r="H146" s="18">
        <v>0</v>
      </c>
      <c r="I146" s="18">
        <v>0</v>
      </c>
      <c r="J146" s="18">
        <v>0</v>
      </c>
    </row>
    <row r="147" spans="1:10" ht="31.5" x14ac:dyDescent="0.25">
      <c r="A147" s="127"/>
      <c r="B147" s="128"/>
      <c r="C147" s="127"/>
      <c r="D147" s="17" t="s">
        <v>5</v>
      </c>
      <c r="E147" s="18">
        <f t="shared" si="79"/>
        <v>0</v>
      </c>
      <c r="F147" s="18">
        <v>0</v>
      </c>
      <c r="G147" s="121">
        <v>0</v>
      </c>
      <c r="H147" s="18">
        <v>0</v>
      </c>
      <c r="I147" s="18">
        <v>0</v>
      </c>
      <c r="J147" s="18">
        <v>0</v>
      </c>
    </row>
    <row r="148" spans="1:10" x14ac:dyDescent="0.25">
      <c r="A148" s="127"/>
      <c r="B148" s="128"/>
      <c r="C148" s="127"/>
      <c r="D148" s="17" t="s">
        <v>6</v>
      </c>
      <c r="E148" s="18">
        <f t="shared" si="79"/>
        <v>0</v>
      </c>
      <c r="F148" s="18">
        <v>0</v>
      </c>
      <c r="G148" s="121">
        <v>0</v>
      </c>
      <c r="H148" s="18">
        <v>0</v>
      </c>
      <c r="I148" s="18">
        <v>0</v>
      </c>
      <c r="J148" s="18">
        <v>0</v>
      </c>
    </row>
    <row r="149" spans="1:10" ht="31.5" x14ac:dyDescent="0.25">
      <c r="A149" s="127"/>
      <c r="B149" s="128"/>
      <c r="C149" s="127"/>
      <c r="D149" s="17" t="s">
        <v>8</v>
      </c>
      <c r="E149" s="18">
        <f t="shared" si="79"/>
        <v>0</v>
      </c>
      <c r="F149" s="18">
        <v>0</v>
      </c>
      <c r="G149" s="121">
        <v>0</v>
      </c>
      <c r="H149" s="18">
        <v>0</v>
      </c>
      <c r="I149" s="18">
        <v>0</v>
      </c>
      <c r="J149" s="18">
        <v>0</v>
      </c>
    </row>
    <row r="150" spans="1:10" x14ac:dyDescent="0.25">
      <c r="A150" s="127"/>
      <c r="B150" s="128"/>
      <c r="C150" s="127"/>
      <c r="D150" s="17" t="s">
        <v>18</v>
      </c>
      <c r="E150" s="18">
        <f t="shared" si="79"/>
        <v>0</v>
      </c>
      <c r="F150" s="18">
        <v>0</v>
      </c>
      <c r="G150" s="121">
        <v>0</v>
      </c>
      <c r="H150" s="18">
        <v>0</v>
      </c>
      <c r="I150" s="18">
        <v>0</v>
      </c>
      <c r="J150" s="18">
        <v>0</v>
      </c>
    </row>
    <row r="151" spans="1:10" x14ac:dyDescent="0.25">
      <c r="A151" s="127"/>
      <c r="B151" s="128"/>
      <c r="C151" s="127"/>
      <c r="D151" s="17" t="s">
        <v>7</v>
      </c>
      <c r="E151" s="18">
        <f t="shared" si="79"/>
        <v>0</v>
      </c>
      <c r="F151" s="18">
        <v>0</v>
      </c>
      <c r="G151" s="121">
        <v>0</v>
      </c>
      <c r="H151" s="18">
        <v>0</v>
      </c>
      <c r="I151" s="18">
        <v>0</v>
      </c>
      <c r="J151" s="18">
        <v>0</v>
      </c>
    </row>
    <row r="152" spans="1:10" s="16" customFormat="1" x14ac:dyDescent="0.25">
      <c r="A152" s="127" t="s">
        <v>30</v>
      </c>
      <c r="B152" s="128" t="s">
        <v>92</v>
      </c>
      <c r="C152" s="127" t="s">
        <v>64</v>
      </c>
      <c r="D152" s="14" t="s">
        <v>3</v>
      </c>
      <c r="E152" s="15">
        <f t="shared" ref="E152:E166" si="80">ROUND(SUM(F152:J152),5)</f>
        <v>0</v>
      </c>
      <c r="F152" s="15">
        <f t="shared" ref="F152:J152" si="81">ROUND(SUM(F153:F158),5)</f>
        <v>0</v>
      </c>
      <c r="G152" s="122">
        <f t="shared" si="81"/>
        <v>0</v>
      </c>
      <c r="H152" s="15">
        <f t="shared" ref="H152:I152" si="82">ROUND(SUM(H153:H158),5)</f>
        <v>0</v>
      </c>
      <c r="I152" s="15">
        <f t="shared" si="82"/>
        <v>0</v>
      </c>
      <c r="J152" s="15">
        <f t="shared" si="81"/>
        <v>0</v>
      </c>
    </row>
    <row r="153" spans="1:10" x14ac:dyDescent="0.25">
      <c r="A153" s="127"/>
      <c r="B153" s="128"/>
      <c r="C153" s="127"/>
      <c r="D153" s="17" t="s">
        <v>4</v>
      </c>
      <c r="E153" s="18">
        <f t="shared" si="80"/>
        <v>0</v>
      </c>
      <c r="F153" s="18">
        <v>0</v>
      </c>
      <c r="G153" s="121">
        <v>0</v>
      </c>
      <c r="H153" s="18">
        <v>0</v>
      </c>
      <c r="I153" s="18">
        <v>0</v>
      </c>
      <c r="J153" s="18">
        <v>0</v>
      </c>
    </row>
    <row r="154" spans="1:10" ht="31.5" x14ac:dyDescent="0.25">
      <c r="A154" s="127"/>
      <c r="B154" s="128"/>
      <c r="C154" s="127"/>
      <c r="D154" s="17" t="s">
        <v>5</v>
      </c>
      <c r="E154" s="18">
        <f t="shared" si="80"/>
        <v>0</v>
      </c>
      <c r="F154" s="18">
        <v>0</v>
      </c>
      <c r="G154" s="121">
        <v>0</v>
      </c>
      <c r="H154" s="18">
        <v>0</v>
      </c>
      <c r="I154" s="18">
        <v>0</v>
      </c>
      <c r="J154" s="18">
        <v>0</v>
      </c>
    </row>
    <row r="155" spans="1:10" x14ac:dyDescent="0.25">
      <c r="A155" s="127"/>
      <c r="B155" s="128"/>
      <c r="C155" s="127"/>
      <c r="D155" s="17" t="s">
        <v>6</v>
      </c>
      <c r="E155" s="18">
        <f t="shared" si="80"/>
        <v>0</v>
      </c>
      <c r="F155" s="18">
        <v>0</v>
      </c>
      <c r="G155" s="121">
        <v>0</v>
      </c>
      <c r="H155" s="18">
        <v>0</v>
      </c>
      <c r="I155" s="18">
        <v>0</v>
      </c>
      <c r="J155" s="18">
        <v>0</v>
      </c>
    </row>
    <row r="156" spans="1:10" ht="31.5" x14ac:dyDescent="0.25">
      <c r="A156" s="127"/>
      <c r="B156" s="128"/>
      <c r="C156" s="127"/>
      <c r="D156" s="17" t="s">
        <v>8</v>
      </c>
      <c r="E156" s="18">
        <f t="shared" si="80"/>
        <v>0</v>
      </c>
      <c r="F156" s="18">
        <v>0</v>
      </c>
      <c r="G156" s="121">
        <v>0</v>
      </c>
      <c r="H156" s="18">
        <v>0</v>
      </c>
      <c r="I156" s="18">
        <v>0</v>
      </c>
      <c r="J156" s="18">
        <v>0</v>
      </c>
    </row>
    <row r="157" spans="1:10" x14ac:dyDescent="0.25">
      <c r="A157" s="127"/>
      <c r="B157" s="128"/>
      <c r="C157" s="127"/>
      <c r="D157" s="17" t="s">
        <v>18</v>
      </c>
      <c r="E157" s="18">
        <f t="shared" si="80"/>
        <v>0</v>
      </c>
      <c r="F157" s="18">
        <v>0</v>
      </c>
      <c r="G157" s="121">
        <v>0</v>
      </c>
      <c r="H157" s="18">
        <v>0</v>
      </c>
      <c r="I157" s="18">
        <v>0</v>
      </c>
      <c r="J157" s="18">
        <v>0</v>
      </c>
    </row>
    <row r="158" spans="1:10" x14ac:dyDescent="0.25">
      <c r="A158" s="127"/>
      <c r="B158" s="128"/>
      <c r="C158" s="127"/>
      <c r="D158" s="17" t="s">
        <v>7</v>
      </c>
      <c r="E158" s="18">
        <f t="shared" si="80"/>
        <v>0</v>
      </c>
      <c r="F158" s="18">
        <v>0</v>
      </c>
      <c r="G158" s="121">
        <v>0</v>
      </c>
      <c r="H158" s="18">
        <v>0</v>
      </c>
      <c r="I158" s="18">
        <v>0</v>
      </c>
      <c r="J158" s="18">
        <v>0</v>
      </c>
    </row>
    <row r="159" spans="1:10" s="16" customFormat="1" x14ac:dyDescent="0.25">
      <c r="A159" s="127" t="s">
        <v>31</v>
      </c>
      <c r="B159" s="128" t="s">
        <v>63</v>
      </c>
      <c r="C159" s="127" t="s">
        <v>79</v>
      </c>
      <c r="D159" s="14" t="s">
        <v>3</v>
      </c>
      <c r="E159" s="15">
        <f t="shared" si="80"/>
        <v>0</v>
      </c>
      <c r="F159" s="15">
        <f t="shared" ref="F159:J159" si="83">ROUND(SUM(F160:F165),5)</f>
        <v>0</v>
      </c>
      <c r="G159" s="122">
        <f t="shared" si="83"/>
        <v>0</v>
      </c>
      <c r="H159" s="15">
        <f t="shared" ref="H159:I159" si="84">ROUND(SUM(H160:H165),5)</f>
        <v>0</v>
      </c>
      <c r="I159" s="15">
        <f t="shared" si="84"/>
        <v>0</v>
      </c>
      <c r="J159" s="15">
        <f t="shared" si="83"/>
        <v>0</v>
      </c>
    </row>
    <row r="160" spans="1:10" x14ac:dyDescent="0.25">
      <c r="A160" s="127"/>
      <c r="B160" s="128"/>
      <c r="C160" s="127"/>
      <c r="D160" s="17" t="s">
        <v>4</v>
      </c>
      <c r="E160" s="18">
        <f t="shared" si="80"/>
        <v>0</v>
      </c>
      <c r="F160" s="18">
        <v>0</v>
      </c>
      <c r="G160" s="121">
        <v>0</v>
      </c>
      <c r="H160" s="18">
        <v>0</v>
      </c>
      <c r="I160" s="18">
        <v>0</v>
      </c>
      <c r="J160" s="18">
        <v>0</v>
      </c>
    </row>
    <row r="161" spans="1:10" ht="31.5" x14ac:dyDescent="0.25">
      <c r="A161" s="127"/>
      <c r="B161" s="128"/>
      <c r="C161" s="127"/>
      <c r="D161" s="17" t="s">
        <v>5</v>
      </c>
      <c r="E161" s="18">
        <f t="shared" si="80"/>
        <v>0</v>
      </c>
      <c r="F161" s="18">
        <v>0</v>
      </c>
      <c r="G161" s="121">
        <v>0</v>
      </c>
      <c r="H161" s="18">
        <v>0</v>
      </c>
      <c r="I161" s="18">
        <v>0</v>
      </c>
      <c r="J161" s="18">
        <v>0</v>
      </c>
    </row>
    <row r="162" spans="1:10" x14ac:dyDescent="0.25">
      <c r="A162" s="127"/>
      <c r="B162" s="128"/>
      <c r="C162" s="127"/>
      <c r="D162" s="17" t="s">
        <v>6</v>
      </c>
      <c r="E162" s="18">
        <f t="shared" si="80"/>
        <v>0</v>
      </c>
      <c r="F162" s="18">
        <v>0</v>
      </c>
      <c r="G162" s="121">
        <v>0</v>
      </c>
      <c r="H162" s="18">
        <v>0</v>
      </c>
      <c r="I162" s="18">
        <v>0</v>
      </c>
      <c r="J162" s="18">
        <v>0</v>
      </c>
    </row>
    <row r="163" spans="1:10" ht="31.5" x14ac:dyDescent="0.25">
      <c r="A163" s="127"/>
      <c r="B163" s="128"/>
      <c r="C163" s="127"/>
      <c r="D163" s="17" t="s">
        <v>8</v>
      </c>
      <c r="E163" s="18">
        <f t="shared" si="80"/>
        <v>0</v>
      </c>
      <c r="F163" s="18">
        <v>0</v>
      </c>
      <c r="G163" s="121">
        <v>0</v>
      </c>
      <c r="H163" s="18">
        <v>0</v>
      </c>
      <c r="I163" s="18">
        <v>0</v>
      </c>
      <c r="J163" s="18">
        <v>0</v>
      </c>
    </row>
    <row r="164" spans="1:10" x14ac:dyDescent="0.25">
      <c r="A164" s="127"/>
      <c r="B164" s="128"/>
      <c r="C164" s="127"/>
      <c r="D164" s="17" t="s">
        <v>18</v>
      </c>
      <c r="E164" s="18">
        <f t="shared" si="80"/>
        <v>0</v>
      </c>
      <c r="F164" s="18">
        <v>0</v>
      </c>
      <c r="G164" s="121">
        <v>0</v>
      </c>
      <c r="H164" s="18">
        <v>0</v>
      </c>
      <c r="I164" s="18">
        <v>0</v>
      </c>
      <c r="J164" s="18">
        <v>0</v>
      </c>
    </row>
    <row r="165" spans="1:10" x14ac:dyDescent="0.25">
      <c r="A165" s="127"/>
      <c r="B165" s="128"/>
      <c r="C165" s="127"/>
      <c r="D165" s="17" t="s">
        <v>7</v>
      </c>
      <c r="E165" s="18">
        <f t="shared" si="80"/>
        <v>0</v>
      </c>
      <c r="F165" s="18">
        <v>0</v>
      </c>
      <c r="G165" s="121">
        <v>0</v>
      </c>
      <c r="H165" s="18">
        <v>0</v>
      </c>
      <c r="I165" s="18">
        <v>0</v>
      </c>
      <c r="J165" s="18">
        <v>0</v>
      </c>
    </row>
    <row r="166" spans="1:10" s="16" customFormat="1" x14ac:dyDescent="0.25">
      <c r="A166" s="127" t="s">
        <v>40</v>
      </c>
      <c r="B166" s="128" t="s">
        <v>60</v>
      </c>
      <c r="C166" s="127" t="s">
        <v>78</v>
      </c>
      <c r="D166" s="14" t="s">
        <v>3</v>
      </c>
      <c r="E166" s="15">
        <f t="shared" si="80"/>
        <v>102930.86236</v>
      </c>
      <c r="F166" s="15">
        <f>ROUND(SUM(F167:F172),5)</f>
        <v>19952.17383</v>
      </c>
      <c r="G166" s="122">
        <f>ROUND(SUM(G167:G172),5)</f>
        <v>29729.581529999999</v>
      </c>
      <c r="H166" s="15">
        <f>ROUND(SUM(H167:H172),5)</f>
        <v>9213.8960000000006</v>
      </c>
      <c r="I166" s="15">
        <f>ROUND(SUM(I167:I172),5)</f>
        <v>4035.2109999999998</v>
      </c>
      <c r="J166" s="15">
        <f>ROUND(SUM(J167:J172),5)</f>
        <v>40000</v>
      </c>
    </row>
    <row r="167" spans="1:10" x14ac:dyDescent="0.25">
      <c r="A167" s="127"/>
      <c r="B167" s="128"/>
      <c r="C167" s="127"/>
      <c r="D167" s="17" t="s">
        <v>4</v>
      </c>
      <c r="E167" s="18">
        <f t="shared" ref="E167:E172" si="85">SUM(F167:J167)</f>
        <v>0</v>
      </c>
      <c r="F167" s="18">
        <v>0</v>
      </c>
      <c r="G167" s="121">
        <v>0</v>
      </c>
      <c r="H167" s="18">
        <v>0</v>
      </c>
      <c r="I167" s="18">
        <v>0</v>
      </c>
      <c r="J167" s="18">
        <v>0</v>
      </c>
    </row>
    <row r="168" spans="1:10" ht="31.5" x14ac:dyDescent="0.25">
      <c r="A168" s="127"/>
      <c r="B168" s="128"/>
      <c r="C168" s="127"/>
      <c r="D168" s="17" t="s">
        <v>5</v>
      </c>
      <c r="E168" s="18">
        <f t="shared" si="85"/>
        <v>500</v>
      </c>
      <c r="F168" s="18">
        <v>500</v>
      </c>
      <c r="G168" s="121">
        <v>0</v>
      </c>
      <c r="H168" s="18">
        <v>0</v>
      </c>
      <c r="I168" s="18">
        <v>0</v>
      </c>
      <c r="J168" s="18">
        <v>0</v>
      </c>
    </row>
    <row r="169" spans="1:10" x14ac:dyDescent="0.25">
      <c r="A169" s="127"/>
      <c r="B169" s="128"/>
      <c r="C169" s="127"/>
      <c r="D169" s="17" t="s">
        <v>6</v>
      </c>
      <c r="E169" s="18">
        <f t="shared" si="85"/>
        <v>76353.389040000009</v>
      </c>
      <c r="F169" s="18">
        <f>7679.769-400-1596.268+600-408.98349-0.018-35</f>
        <v>5839.4995100000006</v>
      </c>
      <c r="G169" s="121">
        <f>12628.833+3429.14842+70+144.27061-9.3-151.648+504.31946+239-24.57349+49.5+38+347.23253</f>
        <v>17264.782530000004</v>
      </c>
      <c r="H169" s="18">
        <v>9213.8960000000006</v>
      </c>
      <c r="I169" s="18">
        <v>4035.2109999999998</v>
      </c>
      <c r="J169" s="18">
        <f>10000*4</f>
        <v>40000</v>
      </c>
    </row>
    <row r="170" spans="1:10" ht="31.5" x14ac:dyDescent="0.25">
      <c r="A170" s="127"/>
      <c r="B170" s="128"/>
      <c r="C170" s="127"/>
      <c r="D170" s="17" t="s">
        <v>8</v>
      </c>
      <c r="E170" s="18">
        <f t="shared" si="85"/>
        <v>0</v>
      </c>
      <c r="F170" s="18">
        <v>0</v>
      </c>
      <c r="G170" s="121">
        <v>0</v>
      </c>
      <c r="H170" s="18">
        <v>0</v>
      </c>
      <c r="I170" s="18">
        <v>0</v>
      </c>
      <c r="J170" s="18">
        <v>0</v>
      </c>
    </row>
    <row r="171" spans="1:10" x14ac:dyDescent="0.25">
      <c r="A171" s="127"/>
      <c r="B171" s="128"/>
      <c r="C171" s="127"/>
      <c r="D171" s="17" t="s">
        <v>18</v>
      </c>
      <c r="E171" s="18">
        <f t="shared" si="85"/>
        <v>0</v>
      </c>
      <c r="F171" s="18">
        <v>0</v>
      </c>
      <c r="G171" s="121">
        <v>0</v>
      </c>
      <c r="H171" s="18">
        <v>0</v>
      </c>
      <c r="I171" s="18">
        <v>0</v>
      </c>
      <c r="J171" s="18">
        <v>0</v>
      </c>
    </row>
    <row r="172" spans="1:10" x14ac:dyDescent="0.25">
      <c r="A172" s="127"/>
      <c r="B172" s="128"/>
      <c r="C172" s="127"/>
      <c r="D172" s="17" t="s">
        <v>7</v>
      </c>
      <c r="E172" s="18">
        <f t="shared" si="85"/>
        <v>26077.473319999997</v>
      </c>
      <c r="F172" s="18">
        <f>7350+13612.67432-7350</f>
        <v>13612.674319999998</v>
      </c>
      <c r="G172" s="121">
        <v>12464.799000000001</v>
      </c>
      <c r="H172" s="18">
        <v>0</v>
      </c>
      <c r="I172" s="18">
        <v>0</v>
      </c>
      <c r="J172" s="18">
        <f>H172*5</f>
        <v>0</v>
      </c>
    </row>
    <row r="173" spans="1:10" ht="12" customHeight="1" x14ac:dyDescent="0.25">
      <c r="A173" s="127" t="s">
        <v>41</v>
      </c>
      <c r="B173" s="128" t="s">
        <v>94</v>
      </c>
      <c r="C173" s="127" t="s">
        <v>69</v>
      </c>
      <c r="D173" s="14" t="s">
        <v>3</v>
      </c>
      <c r="E173" s="15">
        <f t="shared" ref="E173:E200" si="86">ROUND(SUM(F173:J173),5)</f>
        <v>2141498.2000000002</v>
      </c>
      <c r="F173" s="15">
        <f>ROUND(SUM(F174:F179),5)</f>
        <v>0</v>
      </c>
      <c r="G173" s="122">
        <f>ROUND(SUM(G174:G179),5)</f>
        <v>0</v>
      </c>
      <c r="H173" s="15">
        <f>ROUND(SUM(H174:H179),5)</f>
        <v>0</v>
      </c>
      <c r="I173" s="15">
        <f>ROUND(SUM(I174:I179),5)</f>
        <v>0</v>
      </c>
      <c r="J173" s="15">
        <f>ROUND(SUM(J174:J179),5)</f>
        <v>2141498.2000000002</v>
      </c>
    </row>
    <row r="174" spans="1:10" x14ac:dyDescent="0.25">
      <c r="A174" s="127"/>
      <c r="B174" s="128"/>
      <c r="C174" s="127"/>
      <c r="D174" s="17" t="s">
        <v>4</v>
      </c>
      <c r="E174" s="18">
        <f t="shared" si="86"/>
        <v>0</v>
      </c>
      <c r="F174" s="18">
        <f t="shared" ref="F174:J174" si="87">ROUND(F181+F188,5)</f>
        <v>0</v>
      </c>
      <c r="G174" s="121">
        <f>ROUND(G181+G188,5)</f>
        <v>0</v>
      </c>
      <c r="H174" s="18">
        <f t="shared" ref="H174:J179" si="88">ROUND(H181+H188,5)</f>
        <v>0</v>
      </c>
      <c r="I174" s="18">
        <f t="shared" si="88"/>
        <v>0</v>
      </c>
      <c r="J174" s="18">
        <f t="shared" si="87"/>
        <v>0</v>
      </c>
    </row>
    <row r="175" spans="1:10" ht="29.25" customHeight="1" x14ac:dyDescent="0.25">
      <c r="A175" s="127"/>
      <c r="B175" s="128"/>
      <c r="C175" s="127"/>
      <c r="D175" s="17" t="s">
        <v>5</v>
      </c>
      <c r="E175" s="18">
        <f t="shared" si="86"/>
        <v>0</v>
      </c>
      <c r="F175" s="18">
        <f t="shared" ref="F175:G175" si="89">ROUND(F182+F189,5)</f>
        <v>0</v>
      </c>
      <c r="G175" s="121">
        <f t="shared" si="89"/>
        <v>0</v>
      </c>
      <c r="H175" s="18">
        <f t="shared" si="88"/>
        <v>0</v>
      </c>
      <c r="I175" s="18">
        <f t="shared" si="88"/>
        <v>0</v>
      </c>
      <c r="J175" s="18">
        <f t="shared" si="88"/>
        <v>0</v>
      </c>
    </row>
    <row r="176" spans="1:10" x14ac:dyDescent="0.25">
      <c r="A176" s="127"/>
      <c r="B176" s="128"/>
      <c r="C176" s="127"/>
      <c r="D176" s="17" t="s">
        <v>6</v>
      </c>
      <c r="E176" s="18">
        <f t="shared" si="86"/>
        <v>214149.8</v>
      </c>
      <c r="F176" s="18">
        <f t="shared" ref="F176:G176" si="90">ROUND(F183+F190,5)</f>
        <v>0</v>
      </c>
      <c r="G176" s="121">
        <f t="shared" si="90"/>
        <v>0</v>
      </c>
      <c r="H176" s="18">
        <f t="shared" si="88"/>
        <v>0</v>
      </c>
      <c r="I176" s="18">
        <f t="shared" si="88"/>
        <v>0</v>
      </c>
      <c r="J176" s="18">
        <f t="shared" si="88"/>
        <v>214149.8</v>
      </c>
    </row>
    <row r="177" spans="1:10" ht="31.5" x14ac:dyDescent="0.25">
      <c r="A177" s="127"/>
      <c r="B177" s="128"/>
      <c r="C177" s="127"/>
      <c r="D177" s="17" t="s">
        <v>8</v>
      </c>
      <c r="E177" s="18">
        <f t="shared" si="86"/>
        <v>0</v>
      </c>
      <c r="F177" s="18">
        <f t="shared" ref="F177:G177" si="91">ROUND(F184+F191,5)</f>
        <v>0</v>
      </c>
      <c r="G177" s="121">
        <f t="shared" si="91"/>
        <v>0</v>
      </c>
      <c r="H177" s="18">
        <f t="shared" si="88"/>
        <v>0</v>
      </c>
      <c r="I177" s="18">
        <f t="shared" si="88"/>
        <v>0</v>
      </c>
      <c r="J177" s="18">
        <f t="shared" si="88"/>
        <v>0</v>
      </c>
    </row>
    <row r="178" spans="1:10" x14ac:dyDescent="0.25">
      <c r="A178" s="127"/>
      <c r="B178" s="128"/>
      <c r="C178" s="127"/>
      <c r="D178" s="17" t="s">
        <v>18</v>
      </c>
      <c r="E178" s="18">
        <f t="shared" si="86"/>
        <v>0</v>
      </c>
      <c r="F178" s="18">
        <f t="shared" ref="F178:G178" si="92">ROUND(F185+F192,5)</f>
        <v>0</v>
      </c>
      <c r="G178" s="121">
        <f t="shared" si="92"/>
        <v>0</v>
      </c>
      <c r="H178" s="18">
        <f t="shared" si="88"/>
        <v>0</v>
      </c>
      <c r="I178" s="18">
        <f t="shared" si="88"/>
        <v>0</v>
      </c>
      <c r="J178" s="18">
        <f t="shared" si="88"/>
        <v>0</v>
      </c>
    </row>
    <row r="179" spans="1:10" ht="33" customHeight="1" x14ac:dyDescent="0.25">
      <c r="A179" s="127"/>
      <c r="B179" s="128"/>
      <c r="C179" s="127"/>
      <c r="D179" s="17" t="s">
        <v>7</v>
      </c>
      <c r="E179" s="18">
        <f t="shared" si="86"/>
        <v>1927348.4</v>
      </c>
      <c r="F179" s="18">
        <f t="shared" ref="F179:G179" si="93">ROUND(F186+F193,5)</f>
        <v>0</v>
      </c>
      <c r="G179" s="121">
        <f t="shared" si="93"/>
        <v>0</v>
      </c>
      <c r="H179" s="18">
        <f t="shared" si="88"/>
        <v>0</v>
      </c>
      <c r="I179" s="18">
        <f t="shared" si="88"/>
        <v>0</v>
      </c>
      <c r="J179" s="18">
        <f t="shared" si="88"/>
        <v>1927348.4</v>
      </c>
    </row>
    <row r="180" spans="1:10" s="16" customFormat="1" ht="12" customHeight="1" x14ac:dyDescent="0.25">
      <c r="A180" s="127"/>
      <c r="B180" s="128"/>
      <c r="C180" s="127" t="s">
        <v>64</v>
      </c>
      <c r="D180" s="14" t="s">
        <v>3</v>
      </c>
      <c r="E180" s="15">
        <f t="shared" si="86"/>
        <v>2141498.2000000002</v>
      </c>
      <c r="F180" s="15">
        <f t="shared" ref="F180:J180" si="94">ROUND(SUM(F181:F186),5)</f>
        <v>0</v>
      </c>
      <c r="G180" s="122">
        <f t="shared" si="94"/>
        <v>0</v>
      </c>
      <c r="H180" s="15">
        <f t="shared" ref="H180:I180" si="95">ROUND(SUM(H181:H186),5)</f>
        <v>0</v>
      </c>
      <c r="I180" s="15">
        <f t="shared" si="95"/>
        <v>0</v>
      </c>
      <c r="J180" s="15">
        <f t="shared" si="94"/>
        <v>2141498.2000000002</v>
      </c>
    </row>
    <row r="181" spans="1:10" x14ac:dyDescent="0.25">
      <c r="A181" s="127"/>
      <c r="B181" s="128"/>
      <c r="C181" s="127"/>
      <c r="D181" s="17" t="s">
        <v>4</v>
      </c>
      <c r="E181" s="18">
        <f t="shared" si="86"/>
        <v>0</v>
      </c>
      <c r="F181" s="18">
        <v>0</v>
      </c>
      <c r="G181" s="121">
        <v>0</v>
      </c>
      <c r="H181" s="18">
        <v>0</v>
      </c>
      <c r="I181" s="18">
        <v>0</v>
      </c>
      <c r="J181" s="18">
        <v>0</v>
      </c>
    </row>
    <row r="182" spans="1:10" ht="29.25" customHeight="1" x14ac:dyDescent="0.25">
      <c r="A182" s="127"/>
      <c r="B182" s="128"/>
      <c r="C182" s="127"/>
      <c r="D182" s="17" t="s">
        <v>5</v>
      </c>
      <c r="E182" s="18">
        <f t="shared" si="86"/>
        <v>0</v>
      </c>
      <c r="F182" s="18">
        <v>0</v>
      </c>
      <c r="G182" s="121">
        <v>0</v>
      </c>
      <c r="H182" s="18">
        <v>0</v>
      </c>
      <c r="I182" s="18">
        <v>0</v>
      </c>
      <c r="J182" s="18">
        <v>0</v>
      </c>
    </row>
    <row r="183" spans="1:10" x14ac:dyDescent="0.25">
      <c r="A183" s="127"/>
      <c r="B183" s="128"/>
      <c r="C183" s="127"/>
      <c r="D183" s="17" t="s">
        <v>6</v>
      </c>
      <c r="E183" s="18">
        <f t="shared" si="86"/>
        <v>214149.8</v>
      </c>
      <c r="F183" s="18">
        <f>50651.5-22064.7-28586.8</f>
        <v>0</v>
      </c>
      <c r="G183" s="121">
        <v>0</v>
      </c>
      <c r="H183" s="18">
        <v>0</v>
      </c>
      <c r="I183" s="18">
        <v>0</v>
      </c>
      <c r="J183" s="18">
        <f>127567.4+1537.5+85044.9</f>
        <v>214149.8</v>
      </c>
    </row>
    <row r="184" spans="1:10" ht="29.25" customHeight="1" x14ac:dyDescent="0.25">
      <c r="A184" s="127"/>
      <c r="B184" s="128"/>
      <c r="C184" s="127"/>
      <c r="D184" s="17" t="s">
        <v>8</v>
      </c>
      <c r="E184" s="18">
        <f t="shared" si="86"/>
        <v>0</v>
      </c>
      <c r="F184" s="18">
        <v>0</v>
      </c>
      <c r="G184" s="121">
        <v>0</v>
      </c>
      <c r="H184" s="18">
        <v>0</v>
      </c>
      <c r="I184" s="18">
        <v>0</v>
      </c>
      <c r="J184" s="18">
        <v>0</v>
      </c>
    </row>
    <row r="185" spans="1:10" x14ac:dyDescent="0.25">
      <c r="A185" s="127"/>
      <c r="B185" s="128"/>
      <c r="C185" s="127"/>
      <c r="D185" s="17" t="s">
        <v>18</v>
      </c>
      <c r="E185" s="18">
        <f t="shared" si="86"/>
        <v>0</v>
      </c>
      <c r="F185" s="18">
        <v>0</v>
      </c>
      <c r="G185" s="121">
        <v>0</v>
      </c>
      <c r="H185" s="18">
        <v>0</v>
      </c>
      <c r="I185" s="18">
        <v>0</v>
      </c>
      <c r="J185" s="18">
        <v>0</v>
      </c>
    </row>
    <row r="186" spans="1:10" x14ac:dyDescent="0.25">
      <c r="A186" s="127"/>
      <c r="B186" s="128"/>
      <c r="C186" s="127"/>
      <c r="D186" s="17" t="s">
        <v>7</v>
      </c>
      <c r="E186" s="18">
        <f t="shared" si="86"/>
        <v>1927348.4</v>
      </c>
      <c r="F186" s="18">
        <v>0</v>
      </c>
      <c r="G186" s="121">
        <v>0</v>
      </c>
      <c r="H186" s="18">
        <v>0</v>
      </c>
      <c r="I186" s="18">
        <v>0</v>
      </c>
      <c r="J186" s="18">
        <f>1148106.7+13837.2+765404.5</f>
        <v>1927348.4</v>
      </c>
    </row>
    <row r="187" spans="1:10" ht="12" customHeight="1" x14ac:dyDescent="0.25">
      <c r="A187" s="127"/>
      <c r="B187" s="128"/>
      <c r="C187" s="127" t="s">
        <v>70</v>
      </c>
      <c r="D187" s="14" t="s">
        <v>3</v>
      </c>
      <c r="E187" s="15">
        <f t="shared" si="86"/>
        <v>0</v>
      </c>
      <c r="F187" s="15">
        <f t="shared" ref="F187:J187" si="96">ROUND(SUM(F188:F193),5)</f>
        <v>0</v>
      </c>
      <c r="G187" s="122">
        <f t="shared" si="96"/>
        <v>0</v>
      </c>
      <c r="H187" s="15">
        <f t="shared" ref="H187:I187" si="97">ROUND(SUM(H188:H193),5)</f>
        <v>0</v>
      </c>
      <c r="I187" s="15">
        <f t="shared" si="97"/>
        <v>0</v>
      </c>
      <c r="J187" s="15">
        <f t="shared" si="96"/>
        <v>0</v>
      </c>
    </row>
    <row r="188" spans="1:10" x14ac:dyDescent="0.25">
      <c r="A188" s="127"/>
      <c r="B188" s="128"/>
      <c r="C188" s="127"/>
      <c r="D188" s="17" t="s">
        <v>4</v>
      </c>
      <c r="E188" s="18">
        <f t="shared" si="86"/>
        <v>0</v>
      </c>
      <c r="F188" s="18">
        <v>0</v>
      </c>
      <c r="G188" s="121">
        <v>0</v>
      </c>
      <c r="H188" s="18">
        <v>0</v>
      </c>
      <c r="I188" s="18">
        <v>0</v>
      </c>
      <c r="J188" s="18">
        <v>0</v>
      </c>
    </row>
    <row r="189" spans="1:10" ht="31.5" x14ac:dyDescent="0.25">
      <c r="A189" s="127"/>
      <c r="B189" s="128"/>
      <c r="C189" s="127"/>
      <c r="D189" s="17" t="s">
        <v>5</v>
      </c>
      <c r="E189" s="18">
        <f t="shared" si="86"/>
        <v>0</v>
      </c>
      <c r="F189" s="18">
        <v>0</v>
      </c>
      <c r="G189" s="121">
        <v>0</v>
      </c>
      <c r="H189" s="18">
        <v>0</v>
      </c>
      <c r="I189" s="18">
        <v>0</v>
      </c>
      <c r="J189" s="18">
        <v>0</v>
      </c>
    </row>
    <row r="190" spans="1:10" x14ac:dyDescent="0.25">
      <c r="A190" s="127"/>
      <c r="B190" s="128"/>
      <c r="C190" s="127"/>
      <c r="D190" s="17" t="s">
        <v>6</v>
      </c>
      <c r="E190" s="18">
        <f t="shared" si="86"/>
        <v>0</v>
      </c>
      <c r="F190" s="18">
        <v>0</v>
      </c>
      <c r="G190" s="121">
        <v>0</v>
      </c>
      <c r="H190" s="18">
        <v>0</v>
      </c>
      <c r="I190" s="18">
        <v>0</v>
      </c>
      <c r="J190" s="18">
        <v>0</v>
      </c>
    </row>
    <row r="191" spans="1:10" ht="27.75" customHeight="1" x14ac:dyDescent="0.25">
      <c r="A191" s="127"/>
      <c r="B191" s="128"/>
      <c r="C191" s="127"/>
      <c r="D191" s="17" t="s">
        <v>8</v>
      </c>
      <c r="E191" s="18">
        <f t="shared" si="86"/>
        <v>0</v>
      </c>
      <c r="F191" s="18">
        <v>0</v>
      </c>
      <c r="G191" s="121">
        <v>0</v>
      </c>
      <c r="H191" s="18">
        <v>0</v>
      </c>
      <c r="I191" s="18">
        <v>0</v>
      </c>
      <c r="J191" s="18">
        <v>0</v>
      </c>
    </row>
    <row r="192" spans="1:10" x14ac:dyDescent="0.25">
      <c r="A192" s="127"/>
      <c r="B192" s="128"/>
      <c r="C192" s="127"/>
      <c r="D192" s="17" t="s">
        <v>18</v>
      </c>
      <c r="E192" s="18">
        <f t="shared" si="86"/>
        <v>0</v>
      </c>
      <c r="F192" s="18">
        <v>0</v>
      </c>
      <c r="G192" s="121">
        <v>0</v>
      </c>
      <c r="H192" s="18">
        <v>0</v>
      </c>
      <c r="I192" s="18">
        <v>0</v>
      </c>
      <c r="J192" s="18">
        <v>0</v>
      </c>
    </row>
    <row r="193" spans="1:11" x14ac:dyDescent="0.25">
      <c r="A193" s="127"/>
      <c r="B193" s="128"/>
      <c r="C193" s="127"/>
      <c r="D193" s="17" t="s">
        <v>7</v>
      </c>
      <c r="E193" s="18">
        <f t="shared" si="86"/>
        <v>0</v>
      </c>
      <c r="F193" s="18">
        <v>0</v>
      </c>
      <c r="G193" s="121">
        <v>0</v>
      </c>
      <c r="H193" s="18">
        <v>0</v>
      </c>
      <c r="I193" s="18">
        <v>0</v>
      </c>
      <c r="J193" s="18">
        <v>0</v>
      </c>
    </row>
    <row r="194" spans="1:11" s="16" customFormat="1" x14ac:dyDescent="0.25">
      <c r="A194" s="129" t="s">
        <v>42</v>
      </c>
      <c r="B194" s="128" t="s">
        <v>93</v>
      </c>
      <c r="C194" s="127" t="s">
        <v>82</v>
      </c>
      <c r="D194" s="14" t="s">
        <v>3</v>
      </c>
      <c r="E194" s="15">
        <f t="shared" si="86"/>
        <v>847529.92338000005</v>
      </c>
      <c r="F194" s="15">
        <f t="shared" ref="F194:J194" si="98">ROUND(SUM(F195:F200),5)</f>
        <v>165030.63251</v>
      </c>
      <c r="G194" s="122">
        <f t="shared" si="98"/>
        <v>164763.35829</v>
      </c>
      <c r="H194" s="15">
        <f t="shared" ref="H194:I194" si="99">ROUND(SUM(H195:H200),5)</f>
        <v>166213.67176999999</v>
      </c>
      <c r="I194" s="15">
        <f t="shared" si="99"/>
        <v>167922.26081000001</v>
      </c>
      <c r="J194" s="15">
        <f t="shared" si="98"/>
        <v>183600</v>
      </c>
    </row>
    <row r="195" spans="1:11" x14ac:dyDescent="0.25">
      <c r="A195" s="129"/>
      <c r="B195" s="128"/>
      <c r="C195" s="127"/>
      <c r="D195" s="17" t="s">
        <v>4</v>
      </c>
      <c r="E195" s="18">
        <f t="shared" si="86"/>
        <v>0</v>
      </c>
      <c r="F195" s="18">
        <v>0</v>
      </c>
      <c r="G195" s="121">
        <v>0</v>
      </c>
      <c r="H195" s="18">
        <v>0</v>
      </c>
      <c r="I195" s="18">
        <v>0</v>
      </c>
      <c r="J195" s="18">
        <v>0</v>
      </c>
    </row>
    <row r="196" spans="1:11" ht="31.5" x14ac:dyDescent="0.25">
      <c r="A196" s="129"/>
      <c r="B196" s="128"/>
      <c r="C196" s="127"/>
      <c r="D196" s="17" t="s">
        <v>5</v>
      </c>
      <c r="E196" s="18">
        <f t="shared" si="86"/>
        <v>458980.3</v>
      </c>
      <c r="F196" s="18">
        <f>118254.2-10000-5254-1178</f>
        <v>101822.2</v>
      </c>
      <c r="G196" s="121">
        <f>122052.7-9000</f>
        <v>113052.7</v>
      </c>
      <c r="H196" s="18">
        <v>122052.7</v>
      </c>
      <c r="I196" s="18">
        <v>122052.7</v>
      </c>
      <c r="J196" s="18">
        <v>0</v>
      </c>
    </row>
    <row r="197" spans="1:11" x14ac:dyDescent="0.25">
      <c r="A197" s="129"/>
      <c r="B197" s="128"/>
      <c r="C197" s="127"/>
      <c r="D197" s="17" t="s">
        <v>6</v>
      </c>
      <c r="E197" s="18">
        <f t="shared" si="86"/>
        <v>352652.40185000002</v>
      </c>
      <c r="F197" s="18">
        <f>86514.689-3551.162-26734.99358+19.032-421-862.73+456.2+5799.43303-600-2279+2000+3158.35928-290.39522</f>
        <v>63208.432509999999</v>
      </c>
      <c r="G197" s="121">
        <f>36404.64717-6070-97.64033-286.03021+3239.19991+292+1000+1167+49.4+14543.21281+94+104+8.7998+79.48088+7.9776+52.635+299.40564+20.87023+801.69979</f>
        <v>51710.658290000007</v>
      </c>
      <c r="H197" s="18">
        <v>38319.620669999997</v>
      </c>
      <c r="I197" s="18">
        <v>39813.69038</v>
      </c>
      <c r="J197" s="18">
        <f>4*39900</f>
        <v>159600</v>
      </c>
    </row>
    <row r="198" spans="1:11" ht="31.5" x14ac:dyDescent="0.25">
      <c r="A198" s="129"/>
      <c r="B198" s="128"/>
      <c r="C198" s="127"/>
      <c r="D198" s="17" t="s">
        <v>8</v>
      </c>
      <c r="E198" s="18">
        <f t="shared" si="86"/>
        <v>0</v>
      </c>
      <c r="F198" s="18">
        <v>0</v>
      </c>
      <c r="G198" s="121">
        <v>0</v>
      </c>
      <c r="H198" s="18">
        <v>0</v>
      </c>
      <c r="I198" s="18">
        <v>0</v>
      </c>
      <c r="J198" s="18">
        <v>0</v>
      </c>
    </row>
    <row r="199" spans="1:11" x14ac:dyDescent="0.25">
      <c r="A199" s="129"/>
      <c r="B199" s="128"/>
      <c r="C199" s="127"/>
      <c r="D199" s="17" t="s">
        <v>18</v>
      </c>
      <c r="E199" s="18">
        <f t="shared" si="86"/>
        <v>0</v>
      </c>
      <c r="F199" s="18">
        <v>0</v>
      </c>
      <c r="G199" s="121">
        <v>0</v>
      </c>
      <c r="H199" s="18">
        <v>0</v>
      </c>
      <c r="I199" s="18">
        <v>0</v>
      </c>
      <c r="J199" s="18">
        <v>0</v>
      </c>
    </row>
    <row r="200" spans="1:11" ht="44.25" customHeight="1" x14ac:dyDescent="0.25">
      <c r="A200" s="129"/>
      <c r="B200" s="128"/>
      <c r="C200" s="127"/>
      <c r="D200" s="17" t="s">
        <v>17</v>
      </c>
      <c r="E200" s="18">
        <f t="shared" si="86"/>
        <v>35897.221530000003</v>
      </c>
      <c r="F200" s="31">
        <v>0</v>
      </c>
      <c r="G200" s="121">
        <v>0</v>
      </c>
      <c r="H200" s="31">
        <v>5841.3510999999999</v>
      </c>
      <c r="I200" s="31">
        <v>6055.8704299999999</v>
      </c>
      <c r="J200" s="31">
        <f>4*6000</f>
        <v>24000</v>
      </c>
    </row>
    <row r="201" spans="1:11" ht="19.5" customHeight="1" x14ac:dyDescent="0.25">
      <c r="A201" s="129" t="s">
        <v>53</v>
      </c>
      <c r="B201" s="128" t="s">
        <v>62</v>
      </c>
      <c r="C201" s="127" t="s">
        <v>65</v>
      </c>
      <c r="D201" s="14" t="s">
        <v>3</v>
      </c>
      <c r="E201" s="15">
        <f t="shared" ref="E201:E207" si="100">ROUND(SUM(F201:J201),5)</f>
        <v>127853.65102</v>
      </c>
      <c r="F201" s="32">
        <f t="shared" ref="F201:J201" si="101">ROUND(SUM(F202:F207),5)</f>
        <v>36128.651019999998</v>
      </c>
      <c r="G201" s="122">
        <f t="shared" si="101"/>
        <v>0</v>
      </c>
      <c r="H201" s="15">
        <f t="shared" si="101"/>
        <v>0</v>
      </c>
      <c r="I201" s="15">
        <f t="shared" si="101"/>
        <v>0</v>
      </c>
      <c r="J201" s="15">
        <f t="shared" si="101"/>
        <v>91725</v>
      </c>
    </row>
    <row r="202" spans="1:11" ht="19.5" customHeight="1" x14ac:dyDescent="0.25">
      <c r="A202" s="129"/>
      <c r="B202" s="128"/>
      <c r="C202" s="127"/>
      <c r="D202" s="17" t="s">
        <v>4</v>
      </c>
      <c r="E202" s="18">
        <f t="shared" si="100"/>
        <v>0</v>
      </c>
      <c r="F202" s="33">
        <v>0</v>
      </c>
      <c r="G202" s="123">
        <v>0</v>
      </c>
      <c r="H202" s="33">
        <v>0</v>
      </c>
      <c r="I202" s="33">
        <v>0</v>
      </c>
      <c r="J202" s="33">
        <v>0</v>
      </c>
    </row>
    <row r="203" spans="1:11" ht="33.75" customHeight="1" x14ac:dyDescent="0.25">
      <c r="A203" s="129"/>
      <c r="B203" s="128"/>
      <c r="C203" s="127"/>
      <c r="D203" s="17" t="s">
        <v>5</v>
      </c>
      <c r="E203" s="18">
        <f t="shared" si="100"/>
        <v>0</v>
      </c>
      <c r="F203" s="33">
        <v>0</v>
      </c>
      <c r="G203" s="123">
        <v>0</v>
      </c>
      <c r="H203" s="33">
        <v>0</v>
      </c>
      <c r="I203" s="33">
        <v>0</v>
      </c>
      <c r="J203" s="33">
        <v>0</v>
      </c>
    </row>
    <row r="204" spans="1:11" ht="19.5" customHeight="1" x14ac:dyDescent="0.25">
      <c r="A204" s="129"/>
      <c r="B204" s="128"/>
      <c r="C204" s="127"/>
      <c r="D204" s="17" t="s">
        <v>6</v>
      </c>
      <c r="E204" s="18">
        <f t="shared" si="100"/>
        <v>36128.651019999998</v>
      </c>
      <c r="F204" s="34">
        <f>40822.6-5102.82025+408.98349-0.11222</f>
        <v>36128.651019999998</v>
      </c>
      <c r="G204" s="123">
        <v>0</v>
      </c>
      <c r="H204" s="33">
        <v>0</v>
      </c>
      <c r="I204" s="33">
        <v>0</v>
      </c>
      <c r="J204" s="33">
        <v>0</v>
      </c>
      <c r="K204" s="3" t="s">
        <v>56</v>
      </c>
    </row>
    <row r="205" spans="1:11" ht="28.5" customHeight="1" x14ac:dyDescent="0.25">
      <c r="A205" s="129"/>
      <c r="B205" s="128"/>
      <c r="C205" s="127"/>
      <c r="D205" s="17" t="s">
        <v>8</v>
      </c>
      <c r="E205" s="18">
        <f t="shared" si="100"/>
        <v>0</v>
      </c>
      <c r="F205" s="33">
        <v>0</v>
      </c>
      <c r="G205" s="123">
        <v>0</v>
      </c>
      <c r="H205" s="33">
        <v>0</v>
      </c>
      <c r="I205" s="33">
        <v>0</v>
      </c>
      <c r="J205" s="33">
        <v>0</v>
      </c>
    </row>
    <row r="206" spans="1:11" ht="19.5" customHeight="1" x14ac:dyDescent="0.25">
      <c r="A206" s="129"/>
      <c r="B206" s="128"/>
      <c r="C206" s="127"/>
      <c r="D206" s="17" t="s">
        <v>18</v>
      </c>
      <c r="E206" s="18">
        <f t="shared" si="100"/>
        <v>0</v>
      </c>
      <c r="F206" s="33">
        <v>0</v>
      </c>
      <c r="G206" s="123">
        <v>0</v>
      </c>
      <c r="H206" s="33">
        <v>0</v>
      </c>
      <c r="I206" s="33">
        <v>0</v>
      </c>
      <c r="J206" s="33">
        <v>0</v>
      </c>
    </row>
    <row r="207" spans="1:11" ht="19.5" customHeight="1" x14ac:dyDescent="0.25">
      <c r="A207" s="129"/>
      <c r="B207" s="128"/>
      <c r="C207" s="127"/>
      <c r="D207" s="17" t="s">
        <v>17</v>
      </c>
      <c r="E207" s="18">
        <f t="shared" si="100"/>
        <v>91725</v>
      </c>
      <c r="F207" s="18">
        <v>0</v>
      </c>
      <c r="G207" s="121">
        <f>29219.76+10948.64-29219.76-10948.64</f>
        <v>0</v>
      </c>
      <c r="H207" s="18">
        <f>51556.6-51556.6</f>
        <v>0</v>
      </c>
      <c r="I207" s="18">
        <v>0</v>
      </c>
      <c r="J207" s="33">
        <f>51556.6+29219.76+10948.64</f>
        <v>91725</v>
      </c>
      <c r="K207" s="3" t="s">
        <v>55</v>
      </c>
    </row>
    <row r="208" spans="1:11" s="16" customFormat="1" ht="15.75" customHeight="1" x14ac:dyDescent="0.25">
      <c r="A208" s="137" t="s">
        <v>54</v>
      </c>
      <c r="B208" s="128" t="s">
        <v>61</v>
      </c>
      <c r="C208" s="127" t="s">
        <v>78</v>
      </c>
      <c r="D208" s="14" t="s">
        <v>3</v>
      </c>
      <c r="E208" s="15">
        <f>ROUND(SUM(F208:J208),5)</f>
        <v>2986.20993</v>
      </c>
      <c r="F208" s="15">
        <f>ROUND(SUM(F209:F214),5)</f>
        <v>2986.20993</v>
      </c>
      <c r="G208" s="122">
        <f>ROUND(SUM(G209:G214),5)</f>
        <v>0</v>
      </c>
      <c r="H208" s="15">
        <f>ROUND(SUM(H209:H214),5)</f>
        <v>0</v>
      </c>
      <c r="I208" s="15">
        <f>ROUND(SUM(I209:I214),5)</f>
        <v>0</v>
      </c>
      <c r="J208" s="15">
        <f>ROUND(SUM(J209:J214),5)</f>
        <v>0</v>
      </c>
    </row>
    <row r="209" spans="1:10" x14ac:dyDescent="0.25">
      <c r="A209" s="127"/>
      <c r="B209" s="128"/>
      <c r="C209" s="127"/>
      <c r="D209" s="17" t="s">
        <v>4</v>
      </c>
      <c r="E209" s="18">
        <f t="shared" ref="E209:E214" si="102">SUM(F209:J209)</f>
        <v>0</v>
      </c>
      <c r="F209" s="18">
        <v>0</v>
      </c>
      <c r="G209" s="121">
        <v>0</v>
      </c>
      <c r="H209" s="18">
        <v>0</v>
      </c>
      <c r="I209" s="18">
        <v>0</v>
      </c>
      <c r="J209" s="18">
        <v>0</v>
      </c>
    </row>
    <row r="210" spans="1:10" ht="29.25" customHeight="1" x14ac:dyDescent="0.25">
      <c r="A210" s="127"/>
      <c r="B210" s="128"/>
      <c r="C210" s="127"/>
      <c r="D210" s="17" t="s">
        <v>5</v>
      </c>
      <c r="E210" s="18">
        <f t="shared" si="102"/>
        <v>0</v>
      </c>
      <c r="F210" s="18">
        <v>0</v>
      </c>
      <c r="G210" s="121">
        <v>0</v>
      </c>
      <c r="H210" s="18">
        <v>0</v>
      </c>
      <c r="I210" s="18">
        <v>0</v>
      </c>
      <c r="J210" s="18">
        <v>0</v>
      </c>
    </row>
    <row r="211" spans="1:10" x14ac:dyDescent="0.25">
      <c r="A211" s="127"/>
      <c r="B211" s="128"/>
      <c r="C211" s="127"/>
      <c r="D211" s="17" t="s">
        <v>6</v>
      </c>
      <c r="E211" s="18">
        <f t="shared" si="102"/>
        <v>2986.20993</v>
      </c>
      <c r="F211" s="18">
        <f>3143.96-20-110.75-15-12.00007</f>
        <v>2986.20993</v>
      </c>
      <c r="G211" s="121">
        <v>0</v>
      </c>
      <c r="H211" s="18">
        <v>0</v>
      </c>
      <c r="I211" s="18">
        <v>0</v>
      </c>
      <c r="J211" s="18">
        <f>H211*5</f>
        <v>0</v>
      </c>
    </row>
    <row r="212" spans="1:10" ht="31.5" x14ac:dyDescent="0.25">
      <c r="A212" s="127"/>
      <c r="B212" s="128"/>
      <c r="C212" s="127"/>
      <c r="D212" s="17" t="s">
        <v>8</v>
      </c>
      <c r="E212" s="18">
        <f t="shared" si="102"/>
        <v>0</v>
      </c>
      <c r="F212" s="18">
        <v>0</v>
      </c>
      <c r="G212" s="121">
        <v>0</v>
      </c>
      <c r="H212" s="18">
        <v>0</v>
      </c>
      <c r="I212" s="18">
        <v>0</v>
      </c>
      <c r="J212" s="18">
        <v>0</v>
      </c>
    </row>
    <row r="213" spans="1:10" x14ac:dyDescent="0.25">
      <c r="A213" s="127"/>
      <c r="B213" s="128"/>
      <c r="C213" s="127"/>
      <c r="D213" s="17" t="s">
        <v>18</v>
      </c>
      <c r="E213" s="18">
        <f t="shared" si="102"/>
        <v>0</v>
      </c>
      <c r="F213" s="18">
        <v>0</v>
      </c>
      <c r="G213" s="121">
        <v>0</v>
      </c>
      <c r="H213" s="18">
        <v>0</v>
      </c>
      <c r="I213" s="18">
        <v>0</v>
      </c>
      <c r="J213" s="18">
        <v>0</v>
      </c>
    </row>
    <row r="214" spans="1:10" x14ac:dyDescent="0.25">
      <c r="A214" s="127"/>
      <c r="B214" s="128"/>
      <c r="C214" s="127"/>
      <c r="D214" s="17" t="s">
        <v>7</v>
      </c>
      <c r="E214" s="18">
        <f t="shared" si="102"/>
        <v>0</v>
      </c>
      <c r="F214" s="18">
        <f>199-199</f>
        <v>0</v>
      </c>
      <c r="G214" s="121">
        <v>0</v>
      </c>
      <c r="H214" s="18">
        <v>0</v>
      </c>
      <c r="I214" s="18">
        <v>0</v>
      </c>
      <c r="J214" s="18">
        <f>H214*4</f>
        <v>0</v>
      </c>
    </row>
    <row r="215" spans="1:10" s="16" customFormat="1" x14ac:dyDescent="0.25">
      <c r="A215" s="127"/>
      <c r="B215" s="128" t="s">
        <v>12</v>
      </c>
      <c r="C215" s="127"/>
      <c r="D215" s="14" t="s">
        <v>3</v>
      </c>
      <c r="E215" s="15">
        <f t="shared" ref="E215:E228" si="103">ROUND(SUM(F215:J215),5)</f>
        <v>3222798.84669</v>
      </c>
      <c r="F215" s="15">
        <f t="shared" ref="F215:J215" si="104">ROUND(SUM(F216:F221),5)</f>
        <v>224097.66729000001</v>
      </c>
      <c r="G215" s="122">
        <f t="shared" si="104"/>
        <v>194492.93982</v>
      </c>
      <c r="H215" s="15">
        <f t="shared" ref="H215:I215" si="105">ROUND(SUM(H216:H221),5)</f>
        <v>175427.56776999999</v>
      </c>
      <c r="I215" s="15">
        <f t="shared" si="105"/>
        <v>171957.47180999999</v>
      </c>
      <c r="J215" s="15">
        <f t="shared" si="104"/>
        <v>2456823.2000000002</v>
      </c>
    </row>
    <row r="216" spans="1:10" x14ac:dyDescent="0.25">
      <c r="A216" s="127"/>
      <c r="B216" s="128"/>
      <c r="C216" s="127"/>
      <c r="D216" s="17" t="s">
        <v>4</v>
      </c>
      <c r="E216" s="18">
        <f t="shared" si="103"/>
        <v>0</v>
      </c>
      <c r="F216" s="35">
        <f>ROUND(F153+F160+F167+F174+F209+F195+F202+F146,5)</f>
        <v>0</v>
      </c>
      <c r="G216" s="124">
        <f t="shared" ref="G216:J216" si="106">ROUND(G153+G160+G167+G174+G209+G195+G202+G146,5)</f>
        <v>0</v>
      </c>
      <c r="H216" s="35">
        <f t="shared" si="106"/>
        <v>0</v>
      </c>
      <c r="I216" s="35">
        <f t="shared" si="106"/>
        <v>0</v>
      </c>
      <c r="J216" s="35">
        <f t="shared" si="106"/>
        <v>0</v>
      </c>
    </row>
    <row r="217" spans="1:10" ht="27.75" customHeight="1" x14ac:dyDescent="0.25">
      <c r="A217" s="127"/>
      <c r="B217" s="128"/>
      <c r="C217" s="127"/>
      <c r="D217" s="17" t="s">
        <v>5</v>
      </c>
      <c r="E217" s="18">
        <f t="shared" si="103"/>
        <v>459480.3</v>
      </c>
      <c r="F217" s="35">
        <f>ROUND(F154+F161+F168+F175+F203+F210+F196+F147,5)</f>
        <v>102322.2</v>
      </c>
      <c r="G217" s="124">
        <f t="shared" ref="G217:J217" si="107">ROUND(G154+G161+G168+G175+G203+G210+G196+G147,5)</f>
        <v>113052.7</v>
      </c>
      <c r="H217" s="35">
        <f t="shared" si="107"/>
        <v>122052.7</v>
      </c>
      <c r="I217" s="35">
        <f t="shared" si="107"/>
        <v>122052.7</v>
      </c>
      <c r="J217" s="35">
        <f t="shared" si="107"/>
        <v>0</v>
      </c>
    </row>
    <row r="218" spans="1:10" x14ac:dyDescent="0.25">
      <c r="A218" s="127"/>
      <c r="B218" s="128"/>
      <c r="C218" s="127"/>
      <c r="D218" s="17" t="s">
        <v>6</v>
      </c>
      <c r="E218" s="18">
        <f t="shared" si="103"/>
        <v>682270.45183999999</v>
      </c>
      <c r="F218" s="35">
        <f>ROUND(F155+F162+F169+F176+F204+F211+F197+F148,5)</f>
        <v>108162.79296999999</v>
      </c>
      <c r="G218" s="124">
        <f t="shared" ref="G218:J218" si="108">ROUND(G155+G162+G169+G176+G204+G211+G197+G148,5)</f>
        <v>68975.440820000003</v>
      </c>
      <c r="H218" s="35">
        <f t="shared" si="108"/>
        <v>47533.516669999997</v>
      </c>
      <c r="I218" s="35">
        <f t="shared" si="108"/>
        <v>43848.901380000003</v>
      </c>
      <c r="J218" s="35">
        <f t="shared" si="108"/>
        <v>413749.8</v>
      </c>
    </row>
    <row r="219" spans="1:10" ht="30.75" customHeight="1" x14ac:dyDescent="0.25">
      <c r="A219" s="127"/>
      <c r="B219" s="128"/>
      <c r="C219" s="127"/>
      <c r="D219" s="17" t="s">
        <v>8</v>
      </c>
      <c r="E219" s="18">
        <f t="shared" si="103"/>
        <v>0</v>
      </c>
      <c r="F219" s="35">
        <f t="shared" ref="F219:J221" si="109">ROUND(F156+F163+F170+F177+F205+F212+F198+F149,5)</f>
        <v>0</v>
      </c>
      <c r="G219" s="124">
        <f t="shared" si="109"/>
        <v>0</v>
      </c>
      <c r="H219" s="35">
        <f t="shared" si="109"/>
        <v>0</v>
      </c>
      <c r="I219" s="35">
        <f t="shared" si="109"/>
        <v>0</v>
      </c>
      <c r="J219" s="35">
        <f t="shared" si="109"/>
        <v>0</v>
      </c>
    </row>
    <row r="220" spans="1:10" x14ac:dyDescent="0.25">
      <c r="A220" s="127"/>
      <c r="B220" s="128"/>
      <c r="C220" s="127"/>
      <c r="D220" s="17" t="s">
        <v>18</v>
      </c>
      <c r="E220" s="18">
        <f t="shared" si="103"/>
        <v>0</v>
      </c>
      <c r="F220" s="35">
        <f t="shared" si="109"/>
        <v>0</v>
      </c>
      <c r="G220" s="124">
        <f t="shared" si="109"/>
        <v>0</v>
      </c>
      <c r="H220" s="35">
        <f t="shared" si="109"/>
        <v>0</v>
      </c>
      <c r="I220" s="35">
        <f t="shared" si="109"/>
        <v>0</v>
      </c>
      <c r="J220" s="35">
        <f t="shared" si="109"/>
        <v>0</v>
      </c>
    </row>
    <row r="221" spans="1:10" x14ac:dyDescent="0.25">
      <c r="A221" s="127"/>
      <c r="B221" s="128"/>
      <c r="C221" s="127"/>
      <c r="D221" s="17" t="s">
        <v>7</v>
      </c>
      <c r="E221" s="18">
        <f t="shared" si="103"/>
        <v>2081048.09485</v>
      </c>
      <c r="F221" s="35">
        <f>ROUND(F158+F165+F172+F179+F207+F214+F200+F151,5)</f>
        <v>13612.67432</v>
      </c>
      <c r="G221" s="124">
        <f>ROUND(G158+G165+G172+G179+G207+G214+G200+G151,5)</f>
        <v>12464.799000000001</v>
      </c>
      <c r="H221" s="35">
        <f t="shared" si="109"/>
        <v>5841.3510999999999</v>
      </c>
      <c r="I221" s="35">
        <f t="shared" si="109"/>
        <v>6055.8704299999999</v>
      </c>
      <c r="J221" s="35">
        <f t="shared" si="109"/>
        <v>2043073.4</v>
      </c>
    </row>
    <row r="222" spans="1:10" s="16" customFormat="1" x14ac:dyDescent="0.25">
      <c r="A222" s="148" t="s">
        <v>13</v>
      </c>
      <c r="B222" s="148"/>
      <c r="C222" s="149"/>
      <c r="D222" s="14" t="s">
        <v>3</v>
      </c>
      <c r="E222" s="15">
        <f t="shared" si="103"/>
        <v>15087558.255829999</v>
      </c>
      <c r="F222" s="15">
        <f t="shared" ref="F222:J222" si="110">ROUND(SUM(F223:F228),5)</f>
        <v>2445123.4032200002</v>
      </c>
      <c r="G222" s="122">
        <f t="shared" si="110"/>
        <v>2607051.6762700002</v>
      </c>
      <c r="H222" s="15">
        <f t="shared" ref="H222:I222" si="111">ROUND(SUM(H223:H228),5)</f>
        <v>2611567.6225100001</v>
      </c>
      <c r="I222" s="15">
        <f t="shared" si="111"/>
        <v>2612490.04287</v>
      </c>
      <c r="J222" s="15">
        <f t="shared" si="110"/>
        <v>4811325.5109599996</v>
      </c>
    </row>
    <row r="223" spans="1:10" x14ac:dyDescent="0.25">
      <c r="A223" s="148"/>
      <c r="B223" s="148"/>
      <c r="C223" s="149"/>
      <c r="D223" s="14" t="s">
        <v>4</v>
      </c>
      <c r="E223" s="15">
        <f t="shared" si="103"/>
        <v>236118.2</v>
      </c>
      <c r="F223" s="15">
        <f t="shared" ref="F223:J228" si="112">ROUND(F102+F138+F216,5)</f>
        <v>51698.8</v>
      </c>
      <c r="G223" s="122">
        <f t="shared" si="112"/>
        <v>78678.5</v>
      </c>
      <c r="H223" s="15">
        <f t="shared" si="112"/>
        <v>54333</v>
      </c>
      <c r="I223" s="15">
        <f t="shared" si="112"/>
        <v>51407.9</v>
      </c>
      <c r="J223" s="15">
        <f t="shared" si="112"/>
        <v>0</v>
      </c>
    </row>
    <row r="224" spans="1:10" ht="31.5" x14ac:dyDescent="0.25">
      <c r="A224" s="148"/>
      <c r="B224" s="148"/>
      <c r="C224" s="149"/>
      <c r="D224" s="14" t="s">
        <v>5</v>
      </c>
      <c r="E224" s="15">
        <f t="shared" si="103"/>
        <v>7523000.7000000002</v>
      </c>
      <c r="F224" s="15">
        <f t="shared" si="112"/>
        <v>1760000.1</v>
      </c>
      <c r="G224" s="122">
        <f t="shared" si="112"/>
        <v>1905776.9</v>
      </c>
      <c r="H224" s="15">
        <f t="shared" si="112"/>
        <v>1927097.4</v>
      </c>
      <c r="I224" s="15">
        <f t="shared" si="112"/>
        <v>1930126.3</v>
      </c>
      <c r="J224" s="15">
        <f t="shared" si="112"/>
        <v>0</v>
      </c>
    </row>
    <row r="225" spans="1:12" x14ac:dyDescent="0.25">
      <c r="A225" s="148"/>
      <c r="B225" s="148"/>
      <c r="C225" s="149"/>
      <c r="D225" s="14" t="s">
        <v>6</v>
      </c>
      <c r="E225" s="15">
        <f t="shared" si="103"/>
        <v>3800968.41713</v>
      </c>
      <c r="F225" s="15">
        <f t="shared" si="112"/>
        <v>619811.82889999996</v>
      </c>
      <c r="G225" s="122">
        <f t="shared" si="112"/>
        <v>610131.47727000003</v>
      </c>
      <c r="H225" s="15">
        <f t="shared" si="112"/>
        <v>383786.5</v>
      </c>
      <c r="I225" s="15">
        <f t="shared" si="112"/>
        <v>383786.5</v>
      </c>
      <c r="J225" s="15">
        <f t="shared" si="112"/>
        <v>1803452.11096</v>
      </c>
    </row>
    <row r="226" spans="1:12" ht="47.25" x14ac:dyDescent="0.25">
      <c r="A226" s="148"/>
      <c r="B226" s="148"/>
      <c r="C226" s="149"/>
      <c r="D226" s="14" t="s">
        <v>8</v>
      </c>
      <c r="E226" s="15">
        <f t="shared" si="103"/>
        <v>0</v>
      </c>
      <c r="F226" s="15">
        <f t="shared" si="112"/>
        <v>0</v>
      </c>
      <c r="G226" s="122">
        <f t="shared" si="112"/>
        <v>0</v>
      </c>
      <c r="H226" s="15">
        <f t="shared" si="112"/>
        <v>0</v>
      </c>
      <c r="I226" s="15">
        <f t="shared" si="112"/>
        <v>0</v>
      </c>
      <c r="J226" s="15">
        <f t="shared" si="112"/>
        <v>0</v>
      </c>
      <c r="K226" s="25"/>
      <c r="L226" s="25"/>
    </row>
    <row r="227" spans="1:12" x14ac:dyDescent="0.25">
      <c r="A227" s="148"/>
      <c r="B227" s="148"/>
      <c r="C227" s="149"/>
      <c r="D227" s="14" t="s">
        <v>18</v>
      </c>
      <c r="E227" s="15">
        <f t="shared" si="103"/>
        <v>0</v>
      </c>
      <c r="F227" s="15">
        <f t="shared" si="112"/>
        <v>0</v>
      </c>
      <c r="G227" s="122">
        <f t="shared" si="112"/>
        <v>0</v>
      </c>
      <c r="H227" s="15">
        <f t="shared" si="112"/>
        <v>0</v>
      </c>
      <c r="I227" s="15">
        <f t="shared" si="112"/>
        <v>0</v>
      </c>
      <c r="J227" s="15">
        <f t="shared" si="112"/>
        <v>0</v>
      </c>
    </row>
    <row r="228" spans="1:12" x14ac:dyDescent="0.25">
      <c r="A228" s="148"/>
      <c r="B228" s="148"/>
      <c r="C228" s="149"/>
      <c r="D228" s="14" t="s">
        <v>7</v>
      </c>
      <c r="E228" s="15">
        <f t="shared" si="103"/>
        <v>3527470.9386999998</v>
      </c>
      <c r="F228" s="15">
        <f>ROUND(F107+F143+F221,5)</f>
        <v>13612.67432</v>
      </c>
      <c r="G228" s="122">
        <f t="shared" si="112"/>
        <v>12464.799000000001</v>
      </c>
      <c r="H228" s="15">
        <f t="shared" si="112"/>
        <v>246350.72250999999</v>
      </c>
      <c r="I228" s="15">
        <f t="shared" si="112"/>
        <v>247169.34286999999</v>
      </c>
      <c r="J228" s="15">
        <f t="shared" si="112"/>
        <v>3007873.4</v>
      </c>
    </row>
    <row r="229" spans="1:12" x14ac:dyDescent="0.25">
      <c r="A229" s="128" t="s">
        <v>14</v>
      </c>
      <c r="B229" s="128"/>
      <c r="C229" s="36"/>
      <c r="D229" s="17"/>
      <c r="E229" s="18"/>
      <c r="F229" s="18"/>
      <c r="G229" s="121"/>
      <c r="H229" s="18"/>
      <c r="I229" s="18"/>
      <c r="J229" s="18"/>
    </row>
    <row r="230" spans="1:12" s="16" customFormat="1" x14ac:dyDescent="0.25">
      <c r="A230" s="128" t="s">
        <v>43</v>
      </c>
      <c r="B230" s="128"/>
      <c r="C230" s="127"/>
      <c r="D230" s="14" t="s">
        <v>3</v>
      </c>
      <c r="E230" s="15">
        <f t="shared" ref="E230:E243" si="113">ROUND(SUM(F230:J230),5)</f>
        <v>11199.195</v>
      </c>
      <c r="F230" s="15">
        <f t="shared" ref="F230:J230" si="114">ROUND(SUM(F231:F236),5)</f>
        <v>2689.7</v>
      </c>
      <c r="G230" s="122">
        <f t="shared" si="114"/>
        <v>2651.9189999999999</v>
      </c>
      <c r="H230" s="15">
        <f t="shared" ref="H230:I230" si="115">ROUND(SUM(H231:H236),5)</f>
        <v>2651.9189999999999</v>
      </c>
      <c r="I230" s="15">
        <f t="shared" si="115"/>
        <v>3205.6570000000002</v>
      </c>
      <c r="J230" s="15">
        <f t="shared" si="114"/>
        <v>0</v>
      </c>
    </row>
    <row r="231" spans="1:12" x14ac:dyDescent="0.25">
      <c r="A231" s="128"/>
      <c r="B231" s="128"/>
      <c r="C231" s="127"/>
      <c r="D231" s="17" t="s">
        <v>4</v>
      </c>
      <c r="E231" s="18">
        <f t="shared" ref="E231:E233" si="116">ROUND(SUM(F231:J231),5)</f>
        <v>4133.6000000000004</v>
      </c>
      <c r="F231" s="19">
        <v>1038.5</v>
      </c>
      <c r="G231" s="115">
        <v>1023.9</v>
      </c>
      <c r="H231" s="19">
        <v>1023.9</v>
      </c>
      <c r="I231" s="19">
        <v>1047.3</v>
      </c>
      <c r="J231" s="35">
        <f t="shared" ref="J231:J236" si="117">ROUND(J153+J160+J11+J110+J146,5)</f>
        <v>0</v>
      </c>
    </row>
    <row r="232" spans="1:12" ht="31.5" x14ac:dyDescent="0.25">
      <c r="A232" s="128"/>
      <c r="B232" s="128"/>
      <c r="C232" s="127"/>
      <c r="D232" s="17" t="s">
        <v>5</v>
      </c>
      <c r="E232" s="18">
        <f t="shared" si="116"/>
        <v>6953.6</v>
      </c>
      <c r="F232" s="19">
        <v>1624.3</v>
      </c>
      <c r="G232" s="115">
        <v>1601.5</v>
      </c>
      <c r="H232" s="19">
        <v>1601.5</v>
      </c>
      <c r="I232" s="19">
        <v>2126.3000000000002</v>
      </c>
      <c r="J232" s="35">
        <f t="shared" si="117"/>
        <v>0</v>
      </c>
    </row>
    <row r="233" spans="1:12" x14ac:dyDescent="0.25">
      <c r="A233" s="128"/>
      <c r="B233" s="128"/>
      <c r="C233" s="127"/>
      <c r="D233" s="17" t="s">
        <v>6</v>
      </c>
      <c r="E233" s="18">
        <f t="shared" si="116"/>
        <v>111.995</v>
      </c>
      <c r="F233" s="20">
        <v>26.9</v>
      </c>
      <c r="G233" s="116">
        <v>26.518999999999998</v>
      </c>
      <c r="H233" s="20">
        <v>26.518999999999998</v>
      </c>
      <c r="I233" s="20">
        <v>32.057000000000002</v>
      </c>
      <c r="J233" s="35">
        <f t="shared" si="117"/>
        <v>0</v>
      </c>
    </row>
    <row r="234" spans="1:12" ht="31.5" x14ac:dyDescent="0.25">
      <c r="A234" s="128"/>
      <c r="B234" s="128"/>
      <c r="C234" s="127"/>
      <c r="D234" s="17" t="s">
        <v>8</v>
      </c>
      <c r="E234" s="15">
        <f t="shared" si="113"/>
        <v>0</v>
      </c>
      <c r="F234" s="35">
        <f t="shared" ref="F234:I236" si="118">ROUND(F156+F163+F14+F113+F149,5)</f>
        <v>0</v>
      </c>
      <c r="G234" s="124">
        <f t="shared" si="118"/>
        <v>0</v>
      </c>
      <c r="H234" s="35">
        <f t="shared" si="118"/>
        <v>0</v>
      </c>
      <c r="I234" s="35">
        <f t="shared" si="118"/>
        <v>0</v>
      </c>
      <c r="J234" s="35">
        <f t="shared" si="117"/>
        <v>0</v>
      </c>
    </row>
    <row r="235" spans="1:12" x14ac:dyDescent="0.25">
      <c r="A235" s="128"/>
      <c r="B235" s="128"/>
      <c r="C235" s="127"/>
      <c r="D235" s="17" t="s">
        <v>18</v>
      </c>
      <c r="E235" s="15">
        <f t="shared" si="113"/>
        <v>0</v>
      </c>
      <c r="F235" s="35">
        <f t="shared" si="118"/>
        <v>0</v>
      </c>
      <c r="G235" s="124">
        <f t="shared" si="118"/>
        <v>0</v>
      </c>
      <c r="H235" s="35">
        <f t="shared" si="118"/>
        <v>0</v>
      </c>
      <c r="I235" s="35">
        <f t="shared" si="118"/>
        <v>0</v>
      </c>
      <c r="J235" s="35">
        <f t="shared" si="117"/>
        <v>0</v>
      </c>
    </row>
    <row r="236" spans="1:12" x14ac:dyDescent="0.25">
      <c r="A236" s="128"/>
      <c r="B236" s="128"/>
      <c r="C236" s="127"/>
      <c r="D236" s="17" t="s">
        <v>7</v>
      </c>
      <c r="E236" s="15">
        <f t="shared" si="113"/>
        <v>0</v>
      </c>
      <c r="F236" s="35">
        <f t="shared" si="118"/>
        <v>0</v>
      </c>
      <c r="G236" s="124">
        <f t="shared" si="118"/>
        <v>0</v>
      </c>
      <c r="H236" s="35">
        <f t="shared" si="118"/>
        <v>0</v>
      </c>
      <c r="I236" s="35">
        <f t="shared" si="118"/>
        <v>0</v>
      </c>
      <c r="J236" s="35">
        <f t="shared" si="117"/>
        <v>0</v>
      </c>
    </row>
    <row r="237" spans="1:12" s="16" customFormat="1" x14ac:dyDescent="0.25">
      <c r="A237" s="128" t="s">
        <v>44</v>
      </c>
      <c r="B237" s="128"/>
      <c r="C237" s="127"/>
      <c r="D237" s="14" t="s">
        <v>3</v>
      </c>
      <c r="E237" s="15">
        <f t="shared" si="113"/>
        <v>15076359.060830001</v>
      </c>
      <c r="F237" s="15">
        <f t="shared" ref="F237:J237" si="119">ROUND(SUM(F238:F243),5)</f>
        <v>2442433.70322</v>
      </c>
      <c r="G237" s="122">
        <f t="shared" si="119"/>
        <v>2604399.7572699999</v>
      </c>
      <c r="H237" s="15">
        <f t="shared" ref="H237:I237" si="120">ROUND(SUM(H238:H243),5)</f>
        <v>2608915.7035099999</v>
      </c>
      <c r="I237" s="15">
        <f t="shared" si="120"/>
        <v>2609284.3858699999</v>
      </c>
      <c r="J237" s="15">
        <f t="shared" si="119"/>
        <v>4811325.5109599996</v>
      </c>
    </row>
    <row r="238" spans="1:12" x14ac:dyDescent="0.25">
      <c r="A238" s="128"/>
      <c r="B238" s="128"/>
      <c r="C238" s="127"/>
      <c r="D238" s="17" t="s">
        <v>4</v>
      </c>
      <c r="E238" s="15">
        <f t="shared" si="113"/>
        <v>231984.6</v>
      </c>
      <c r="F238" s="35">
        <f t="shared" ref="F238:J238" si="121">ROUND(F223-F231,5)</f>
        <v>50660.3</v>
      </c>
      <c r="G238" s="124">
        <f t="shared" si="121"/>
        <v>77654.600000000006</v>
      </c>
      <c r="H238" s="35">
        <f t="shared" ref="H238:I238" si="122">ROUND(H223-H231,5)</f>
        <v>53309.1</v>
      </c>
      <c r="I238" s="35">
        <f t="shared" si="122"/>
        <v>50360.6</v>
      </c>
      <c r="J238" s="35">
        <f t="shared" si="121"/>
        <v>0</v>
      </c>
    </row>
    <row r="239" spans="1:12" ht="31.5" x14ac:dyDescent="0.25">
      <c r="A239" s="128"/>
      <c r="B239" s="128"/>
      <c r="C239" s="127"/>
      <c r="D239" s="17" t="s">
        <v>5</v>
      </c>
      <c r="E239" s="15">
        <f t="shared" si="113"/>
        <v>7516047.0999999996</v>
      </c>
      <c r="F239" s="35">
        <f t="shared" ref="F239:J243" si="123">ROUND(F224-F232,5)</f>
        <v>1758375.8</v>
      </c>
      <c r="G239" s="124">
        <f t="shared" si="123"/>
        <v>1904175.4</v>
      </c>
      <c r="H239" s="35">
        <f t="shared" ref="H239:I239" si="124">ROUND(H224-H232,5)</f>
        <v>1925495.9</v>
      </c>
      <c r="I239" s="35">
        <f t="shared" si="124"/>
        <v>1928000</v>
      </c>
      <c r="J239" s="35">
        <f t="shared" si="123"/>
        <v>0</v>
      </c>
    </row>
    <row r="240" spans="1:12" x14ac:dyDescent="0.25">
      <c r="A240" s="128"/>
      <c r="B240" s="128"/>
      <c r="C240" s="127"/>
      <c r="D240" s="17" t="s">
        <v>6</v>
      </c>
      <c r="E240" s="15">
        <f t="shared" si="113"/>
        <v>3800856.4221299998</v>
      </c>
      <c r="F240" s="35">
        <f t="shared" si="123"/>
        <v>619784.92890000006</v>
      </c>
      <c r="G240" s="124">
        <f t="shared" si="123"/>
        <v>610104.95826999994</v>
      </c>
      <c r="H240" s="35">
        <f t="shared" ref="H240:I240" si="125">ROUND(H225-H233,5)</f>
        <v>383759.98100000003</v>
      </c>
      <c r="I240" s="35">
        <f t="shared" si="125"/>
        <v>383754.44300000003</v>
      </c>
      <c r="J240" s="35">
        <f t="shared" si="123"/>
        <v>1803452.11096</v>
      </c>
    </row>
    <row r="241" spans="1:11" ht="31.5" x14ac:dyDescent="0.25">
      <c r="A241" s="128"/>
      <c r="B241" s="128"/>
      <c r="C241" s="127"/>
      <c r="D241" s="17" t="s">
        <v>8</v>
      </c>
      <c r="E241" s="15">
        <f t="shared" si="113"/>
        <v>0</v>
      </c>
      <c r="F241" s="35">
        <f t="shared" si="123"/>
        <v>0</v>
      </c>
      <c r="G241" s="124">
        <f t="shared" si="123"/>
        <v>0</v>
      </c>
      <c r="H241" s="35">
        <f t="shared" ref="H241:I241" si="126">ROUND(H226-H234,5)</f>
        <v>0</v>
      </c>
      <c r="I241" s="35">
        <f t="shared" si="126"/>
        <v>0</v>
      </c>
      <c r="J241" s="35">
        <f t="shared" si="123"/>
        <v>0</v>
      </c>
    </row>
    <row r="242" spans="1:11" x14ac:dyDescent="0.25">
      <c r="A242" s="128"/>
      <c r="B242" s="128"/>
      <c r="C242" s="127"/>
      <c r="D242" s="17" t="s">
        <v>18</v>
      </c>
      <c r="E242" s="15">
        <f t="shared" si="113"/>
        <v>0</v>
      </c>
      <c r="F242" s="35">
        <f t="shared" si="123"/>
        <v>0</v>
      </c>
      <c r="G242" s="124">
        <f t="shared" si="123"/>
        <v>0</v>
      </c>
      <c r="H242" s="35">
        <f t="shared" ref="H242:I242" si="127">ROUND(H227-H235,5)</f>
        <v>0</v>
      </c>
      <c r="I242" s="35">
        <f t="shared" si="127"/>
        <v>0</v>
      </c>
      <c r="J242" s="35">
        <f t="shared" si="123"/>
        <v>0</v>
      </c>
    </row>
    <row r="243" spans="1:11" x14ac:dyDescent="0.25">
      <c r="A243" s="128"/>
      <c r="B243" s="128"/>
      <c r="C243" s="127"/>
      <c r="D243" s="17" t="s">
        <v>7</v>
      </c>
      <c r="E243" s="15">
        <f t="shared" si="113"/>
        <v>3527470.9386999998</v>
      </c>
      <c r="F243" s="35">
        <f t="shared" si="123"/>
        <v>13612.67432</v>
      </c>
      <c r="G243" s="124">
        <f t="shared" si="123"/>
        <v>12464.799000000001</v>
      </c>
      <c r="H243" s="35">
        <f t="shared" ref="H243:I243" si="128">ROUND(H228-H236,5)</f>
        <v>246350.72250999999</v>
      </c>
      <c r="I243" s="35">
        <f t="shared" si="128"/>
        <v>247169.34286999999</v>
      </c>
      <c r="J243" s="35">
        <f t="shared" si="123"/>
        <v>3007873.4</v>
      </c>
    </row>
    <row r="244" spans="1:11" x14ac:dyDescent="0.25">
      <c r="A244" s="145" t="s">
        <v>14</v>
      </c>
      <c r="B244" s="145"/>
      <c r="C244" s="37"/>
      <c r="D244" s="38"/>
      <c r="E244" s="31"/>
      <c r="F244" s="31"/>
      <c r="G244" s="121"/>
      <c r="H244" s="31"/>
      <c r="I244" s="31"/>
      <c r="J244" s="31"/>
    </row>
    <row r="245" spans="1:11" s="16" customFormat="1" x14ac:dyDescent="0.25">
      <c r="A245" s="145" t="s">
        <v>15</v>
      </c>
      <c r="B245" s="145"/>
      <c r="C245" s="146"/>
      <c r="D245" s="39" t="s">
        <v>3</v>
      </c>
      <c r="E245" s="32">
        <f t="shared" ref="E245:E258" si="129">ROUND(SUM(F245:J245),5)</f>
        <v>2141498.2000000002</v>
      </c>
      <c r="F245" s="32">
        <f t="shared" ref="F245:J245" si="130">ROUND(SUM(F246:F251),5)</f>
        <v>0</v>
      </c>
      <c r="G245" s="122">
        <f t="shared" si="130"/>
        <v>0</v>
      </c>
      <c r="H245" s="32">
        <f t="shared" ref="H245:I245" si="131">ROUND(SUM(H246:H251),5)</f>
        <v>0</v>
      </c>
      <c r="I245" s="32">
        <f t="shared" si="131"/>
        <v>0</v>
      </c>
      <c r="J245" s="32">
        <f t="shared" si="130"/>
        <v>2141498.2000000002</v>
      </c>
    </row>
    <row r="246" spans="1:11" x14ac:dyDescent="0.25">
      <c r="A246" s="145"/>
      <c r="B246" s="145"/>
      <c r="C246" s="146"/>
      <c r="D246" s="38" t="s">
        <v>4</v>
      </c>
      <c r="E246" s="32">
        <f t="shared" si="129"/>
        <v>0</v>
      </c>
      <c r="F246" s="31">
        <f t="shared" ref="F246:J251" si="132">ROUND(F174+F153+F146,5)</f>
        <v>0</v>
      </c>
      <c r="G246" s="121">
        <f t="shared" si="132"/>
        <v>0</v>
      </c>
      <c r="H246" s="31">
        <f t="shared" si="132"/>
        <v>0</v>
      </c>
      <c r="I246" s="31">
        <f t="shared" si="132"/>
        <v>0</v>
      </c>
      <c r="J246" s="31">
        <f t="shared" si="132"/>
        <v>0</v>
      </c>
    </row>
    <row r="247" spans="1:11" ht="31.5" x14ac:dyDescent="0.25">
      <c r="A247" s="145"/>
      <c r="B247" s="145"/>
      <c r="C247" s="146"/>
      <c r="D247" s="38" t="s">
        <v>5</v>
      </c>
      <c r="E247" s="32">
        <f t="shared" si="129"/>
        <v>0</v>
      </c>
      <c r="F247" s="31">
        <f t="shared" si="132"/>
        <v>0</v>
      </c>
      <c r="G247" s="121">
        <f t="shared" si="132"/>
        <v>0</v>
      </c>
      <c r="H247" s="31">
        <f t="shared" si="132"/>
        <v>0</v>
      </c>
      <c r="I247" s="31">
        <f t="shared" si="132"/>
        <v>0</v>
      </c>
      <c r="J247" s="31">
        <f t="shared" si="132"/>
        <v>0</v>
      </c>
    </row>
    <row r="248" spans="1:11" x14ac:dyDescent="0.25">
      <c r="A248" s="145"/>
      <c r="B248" s="145"/>
      <c r="C248" s="146"/>
      <c r="D248" s="38" t="s">
        <v>6</v>
      </c>
      <c r="E248" s="32">
        <f t="shared" si="129"/>
        <v>214149.8</v>
      </c>
      <c r="F248" s="31">
        <f t="shared" si="132"/>
        <v>0</v>
      </c>
      <c r="G248" s="121">
        <f t="shared" si="132"/>
        <v>0</v>
      </c>
      <c r="H248" s="31">
        <f t="shared" si="132"/>
        <v>0</v>
      </c>
      <c r="I248" s="31">
        <f t="shared" si="132"/>
        <v>0</v>
      </c>
      <c r="J248" s="31">
        <f t="shared" si="132"/>
        <v>214149.8</v>
      </c>
    </row>
    <row r="249" spans="1:11" ht="31.5" x14ac:dyDescent="0.25">
      <c r="A249" s="145"/>
      <c r="B249" s="145"/>
      <c r="C249" s="146"/>
      <c r="D249" s="38" t="s">
        <v>8</v>
      </c>
      <c r="E249" s="32">
        <f t="shared" si="129"/>
        <v>0</v>
      </c>
      <c r="F249" s="31">
        <f t="shared" si="132"/>
        <v>0</v>
      </c>
      <c r="G249" s="121">
        <f t="shared" si="132"/>
        <v>0</v>
      </c>
      <c r="H249" s="31">
        <f t="shared" si="132"/>
        <v>0</v>
      </c>
      <c r="I249" s="31">
        <f t="shared" si="132"/>
        <v>0</v>
      </c>
      <c r="J249" s="31">
        <f t="shared" si="132"/>
        <v>0</v>
      </c>
    </row>
    <row r="250" spans="1:11" x14ac:dyDescent="0.25">
      <c r="A250" s="145"/>
      <c r="B250" s="145"/>
      <c r="C250" s="146"/>
      <c r="D250" s="38" t="s">
        <v>18</v>
      </c>
      <c r="E250" s="32">
        <f t="shared" si="129"/>
        <v>0</v>
      </c>
      <c r="F250" s="31">
        <f t="shared" si="132"/>
        <v>0</v>
      </c>
      <c r="G250" s="121">
        <f t="shared" si="132"/>
        <v>0</v>
      </c>
      <c r="H250" s="31">
        <f t="shared" si="132"/>
        <v>0</v>
      </c>
      <c r="I250" s="31">
        <f t="shared" si="132"/>
        <v>0</v>
      </c>
      <c r="J250" s="31">
        <f t="shared" si="132"/>
        <v>0</v>
      </c>
    </row>
    <row r="251" spans="1:11" x14ac:dyDescent="0.25">
      <c r="A251" s="145"/>
      <c r="B251" s="145"/>
      <c r="C251" s="146"/>
      <c r="D251" s="38" t="s">
        <v>7</v>
      </c>
      <c r="E251" s="32">
        <f t="shared" si="129"/>
        <v>1927348.4</v>
      </c>
      <c r="F251" s="31">
        <f t="shared" si="132"/>
        <v>0</v>
      </c>
      <c r="G251" s="121">
        <f t="shared" si="132"/>
        <v>0</v>
      </c>
      <c r="H251" s="31">
        <f t="shared" si="132"/>
        <v>0</v>
      </c>
      <c r="I251" s="31">
        <f t="shared" si="132"/>
        <v>0</v>
      </c>
      <c r="J251" s="31">
        <f t="shared" si="132"/>
        <v>1927348.4</v>
      </c>
    </row>
    <row r="252" spans="1:11" s="16" customFormat="1" x14ac:dyDescent="0.25">
      <c r="A252" s="145" t="s">
        <v>16</v>
      </c>
      <c r="B252" s="145"/>
      <c r="C252" s="146"/>
      <c r="D252" s="39" t="s">
        <v>3</v>
      </c>
      <c r="E252" s="32">
        <f t="shared" si="129"/>
        <v>12946060.05583</v>
      </c>
      <c r="F252" s="32">
        <f t="shared" ref="F252:J252" si="133">ROUND(SUM(F253:F258),5)</f>
        <v>2445123.4032200002</v>
      </c>
      <c r="G252" s="122">
        <f t="shared" si="133"/>
        <v>2607051.6762700002</v>
      </c>
      <c r="H252" s="32">
        <f t="shared" ref="H252:I252" si="134">ROUND(SUM(H253:H258),5)</f>
        <v>2611567.6225100001</v>
      </c>
      <c r="I252" s="32">
        <f t="shared" si="134"/>
        <v>2612490.04287</v>
      </c>
      <c r="J252" s="32">
        <f t="shared" si="133"/>
        <v>2669827.3109599999</v>
      </c>
    </row>
    <row r="253" spans="1:11" x14ac:dyDescent="0.25">
      <c r="A253" s="145"/>
      <c r="B253" s="145"/>
      <c r="C253" s="146"/>
      <c r="D253" s="38" t="s">
        <v>4</v>
      </c>
      <c r="E253" s="31">
        <f t="shared" si="129"/>
        <v>236118.2</v>
      </c>
      <c r="F253" s="31">
        <f t="shared" ref="F253:J253" si="135">ROUND(F223-F246,5)</f>
        <v>51698.8</v>
      </c>
      <c r="G253" s="121">
        <f t="shared" si="135"/>
        <v>78678.5</v>
      </c>
      <c r="H253" s="31">
        <f t="shared" ref="H253:I253" si="136">ROUND(H223-H246,5)</f>
        <v>54333</v>
      </c>
      <c r="I253" s="31">
        <f t="shared" si="136"/>
        <v>51407.9</v>
      </c>
      <c r="J253" s="31">
        <f t="shared" si="135"/>
        <v>0</v>
      </c>
    </row>
    <row r="254" spans="1:11" ht="31.5" x14ac:dyDescent="0.25">
      <c r="A254" s="145"/>
      <c r="B254" s="145"/>
      <c r="C254" s="146"/>
      <c r="D254" s="38" t="s">
        <v>5</v>
      </c>
      <c r="E254" s="31">
        <f t="shared" si="129"/>
        <v>7523000.7000000002</v>
      </c>
      <c r="F254" s="31">
        <f t="shared" ref="F254:J258" si="137">ROUND(F224-F247,5)</f>
        <v>1760000.1</v>
      </c>
      <c r="G254" s="121">
        <f t="shared" si="137"/>
        <v>1905776.9</v>
      </c>
      <c r="H254" s="31">
        <f t="shared" ref="H254:I254" si="138">ROUND(H224-H247,5)</f>
        <v>1927097.4</v>
      </c>
      <c r="I254" s="31">
        <f t="shared" si="138"/>
        <v>1930126.3</v>
      </c>
      <c r="J254" s="31">
        <f t="shared" si="137"/>
        <v>0</v>
      </c>
    </row>
    <row r="255" spans="1:11" x14ac:dyDescent="0.25">
      <c r="A255" s="145"/>
      <c r="B255" s="145"/>
      <c r="C255" s="146"/>
      <c r="D255" s="38" t="s">
        <v>6</v>
      </c>
      <c r="E255" s="31">
        <f t="shared" si="129"/>
        <v>3586818.6171300001</v>
      </c>
      <c r="F255" s="31">
        <f t="shared" si="137"/>
        <v>619811.82889999996</v>
      </c>
      <c r="G255" s="121">
        <f t="shared" si="137"/>
        <v>610131.47727000003</v>
      </c>
      <c r="H255" s="31">
        <f t="shared" ref="H255:I255" si="139">ROUND(H225-H248,5)</f>
        <v>383786.5</v>
      </c>
      <c r="I255" s="31">
        <f t="shared" si="139"/>
        <v>383786.5</v>
      </c>
      <c r="J255" s="31">
        <f t="shared" si="137"/>
        <v>1589302.3109599999</v>
      </c>
      <c r="K255" s="40"/>
    </row>
    <row r="256" spans="1:11" ht="31.5" x14ac:dyDescent="0.25">
      <c r="A256" s="145"/>
      <c r="B256" s="145"/>
      <c r="C256" s="146"/>
      <c r="D256" s="38" t="s">
        <v>8</v>
      </c>
      <c r="E256" s="31">
        <f t="shared" si="129"/>
        <v>0</v>
      </c>
      <c r="F256" s="31">
        <f t="shared" si="137"/>
        <v>0</v>
      </c>
      <c r="G256" s="121">
        <f t="shared" si="137"/>
        <v>0</v>
      </c>
      <c r="H256" s="31">
        <f t="shared" ref="H256:I256" si="140">ROUND(H226-H249,5)</f>
        <v>0</v>
      </c>
      <c r="I256" s="31">
        <f t="shared" si="140"/>
        <v>0</v>
      </c>
      <c r="J256" s="31">
        <f t="shared" si="137"/>
        <v>0</v>
      </c>
    </row>
    <row r="257" spans="1:10" x14ac:dyDescent="0.25">
      <c r="A257" s="145"/>
      <c r="B257" s="145"/>
      <c r="C257" s="146"/>
      <c r="D257" s="38" t="s">
        <v>18</v>
      </c>
      <c r="E257" s="31">
        <f t="shared" si="129"/>
        <v>0</v>
      </c>
      <c r="F257" s="31">
        <f t="shared" si="137"/>
        <v>0</v>
      </c>
      <c r="G257" s="121">
        <f t="shared" si="137"/>
        <v>0</v>
      </c>
      <c r="H257" s="31">
        <f t="shared" ref="H257:I257" si="141">ROUND(H227-H250,5)</f>
        <v>0</v>
      </c>
      <c r="I257" s="31">
        <f t="shared" si="141"/>
        <v>0</v>
      </c>
      <c r="J257" s="31">
        <f t="shared" si="137"/>
        <v>0</v>
      </c>
    </row>
    <row r="258" spans="1:10" x14ac:dyDescent="0.25">
      <c r="A258" s="145"/>
      <c r="B258" s="145"/>
      <c r="C258" s="146"/>
      <c r="D258" s="38" t="s">
        <v>7</v>
      </c>
      <c r="E258" s="31">
        <f t="shared" si="129"/>
        <v>1600122.5386999999</v>
      </c>
      <c r="F258" s="31">
        <f t="shared" si="137"/>
        <v>13612.67432</v>
      </c>
      <c r="G258" s="121">
        <f t="shared" si="137"/>
        <v>12464.799000000001</v>
      </c>
      <c r="H258" s="31">
        <f t="shared" ref="H258:I258" si="142">ROUND(H228-H251,5)</f>
        <v>246350.72250999999</v>
      </c>
      <c r="I258" s="31">
        <f t="shared" si="142"/>
        <v>247169.34286999999</v>
      </c>
      <c r="J258" s="31">
        <f t="shared" si="137"/>
        <v>1080525</v>
      </c>
    </row>
    <row r="259" spans="1:10" x14ac:dyDescent="0.25">
      <c r="A259" s="145" t="s">
        <v>14</v>
      </c>
      <c r="B259" s="145"/>
      <c r="C259" s="37"/>
      <c r="D259" s="38"/>
      <c r="E259" s="31"/>
      <c r="F259" s="31"/>
      <c r="G259" s="121"/>
      <c r="H259" s="31"/>
      <c r="I259" s="31"/>
      <c r="J259" s="31"/>
    </row>
    <row r="260" spans="1:10" s="16" customFormat="1" x14ac:dyDescent="0.25">
      <c r="A260" s="145" t="s">
        <v>83</v>
      </c>
      <c r="B260" s="145"/>
      <c r="C260" s="146"/>
      <c r="D260" s="39" t="s">
        <v>3</v>
      </c>
      <c r="E260" s="32">
        <f t="shared" ref="E260:E287" si="143">ROUND(SUM(F260:J260),5)</f>
        <v>12817406.40481</v>
      </c>
      <c r="F260" s="32">
        <f t="shared" ref="F260:J260" si="144">ROUND(SUM(F261:F266),5)</f>
        <v>2408894.7522</v>
      </c>
      <c r="G260" s="122">
        <f t="shared" si="144"/>
        <v>2606951.6762700002</v>
      </c>
      <c r="H260" s="32">
        <f t="shared" ref="H260:I260" si="145">ROUND(SUM(H261:H266),5)</f>
        <v>2611467.6225100001</v>
      </c>
      <c r="I260" s="32">
        <f t="shared" si="145"/>
        <v>2612390.04287</v>
      </c>
      <c r="J260" s="32">
        <f t="shared" si="144"/>
        <v>2577702.3109599999</v>
      </c>
    </row>
    <row r="261" spans="1:10" x14ac:dyDescent="0.25">
      <c r="A261" s="145"/>
      <c r="B261" s="145"/>
      <c r="C261" s="146"/>
      <c r="D261" s="38" t="s">
        <v>4</v>
      </c>
      <c r="E261" s="31">
        <f t="shared" si="143"/>
        <v>236118.2</v>
      </c>
      <c r="F261" s="31">
        <f t="shared" ref="F261:J265" si="146">ROUND(F102+F138+F160+F167+F195-F95,5)</f>
        <v>51698.8</v>
      </c>
      <c r="G261" s="121">
        <f t="shared" si="146"/>
        <v>78678.5</v>
      </c>
      <c r="H261" s="31">
        <f t="shared" si="146"/>
        <v>54333</v>
      </c>
      <c r="I261" s="31">
        <f t="shared" si="146"/>
        <v>51407.9</v>
      </c>
      <c r="J261" s="31">
        <f t="shared" si="146"/>
        <v>0</v>
      </c>
    </row>
    <row r="262" spans="1:10" ht="31.5" x14ac:dyDescent="0.25">
      <c r="A262" s="145"/>
      <c r="B262" s="145"/>
      <c r="C262" s="146"/>
      <c r="D262" s="38" t="s">
        <v>5</v>
      </c>
      <c r="E262" s="31">
        <f t="shared" si="143"/>
        <v>7523000.7000000002</v>
      </c>
      <c r="F262" s="31">
        <f t="shared" si="146"/>
        <v>1760000.1</v>
      </c>
      <c r="G262" s="121">
        <f t="shared" si="146"/>
        <v>1905776.9</v>
      </c>
      <c r="H262" s="31">
        <f t="shared" si="146"/>
        <v>1927097.4</v>
      </c>
      <c r="I262" s="31">
        <f t="shared" si="146"/>
        <v>1930126.3</v>
      </c>
      <c r="J262" s="31">
        <f t="shared" si="146"/>
        <v>0</v>
      </c>
    </row>
    <row r="263" spans="1:10" x14ac:dyDescent="0.25">
      <c r="A263" s="145"/>
      <c r="B263" s="145"/>
      <c r="C263" s="146"/>
      <c r="D263" s="38" t="s">
        <v>6</v>
      </c>
      <c r="E263" s="31">
        <f>ROUND(SUM(F263:J263),5)</f>
        <v>3549889.9661099999</v>
      </c>
      <c r="F263" s="31">
        <f>ROUND(F104+F140+F162+F169+F197+F211-F97,5)</f>
        <v>583583.17787999997</v>
      </c>
      <c r="G263" s="121">
        <f t="shared" si="146"/>
        <v>610031.47727000003</v>
      </c>
      <c r="H263" s="31">
        <f t="shared" si="146"/>
        <v>383686.5</v>
      </c>
      <c r="I263" s="31">
        <f t="shared" si="146"/>
        <v>383686.5</v>
      </c>
      <c r="J263" s="31">
        <f t="shared" si="146"/>
        <v>1588902.3109599999</v>
      </c>
    </row>
    <row r="264" spans="1:10" ht="31.5" x14ac:dyDescent="0.25">
      <c r="A264" s="145"/>
      <c r="B264" s="145"/>
      <c r="C264" s="146"/>
      <c r="D264" s="38" t="s">
        <v>8</v>
      </c>
      <c r="E264" s="31">
        <f t="shared" si="143"/>
        <v>0</v>
      </c>
      <c r="F264" s="31">
        <f t="shared" si="146"/>
        <v>0</v>
      </c>
      <c r="G264" s="121">
        <f t="shared" si="146"/>
        <v>0</v>
      </c>
      <c r="H264" s="31">
        <f t="shared" si="146"/>
        <v>0</v>
      </c>
      <c r="I264" s="31">
        <f t="shared" si="146"/>
        <v>0</v>
      </c>
      <c r="J264" s="31">
        <f t="shared" si="146"/>
        <v>0</v>
      </c>
    </row>
    <row r="265" spans="1:10" x14ac:dyDescent="0.25">
      <c r="A265" s="145"/>
      <c r="B265" s="145"/>
      <c r="C265" s="146"/>
      <c r="D265" s="38" t="s">
        <v>18</v>
      </c>
      <c r="E265" s="31">
        <f t="shared" si="143"/>
        <v>0</v>
      </c>
      <c r="F265" s="31">
        <f t="shared" si="146"/>
        <v>0</v>
      </c>
      <c r="G265" s="121">
        <f t="shared" si="146"/>
        <v>0</v>
      </c>
      <c r="H265" s="31">
        <f t="shared" si="146"/>
        <v>0</v>
      </c>
      <c r="I265" s="31">
        <f t="shared" si="146"/>
        <v>0</v>
      </c>
      <c r="J265" s="31">
        <f t="shared" si="146"/>
        <v>0</v>
      </c>
    </row>
    <row r="266" spans="1:10" x14ac:dyDescent="0.25">
      <c r="A266" s="145"/>
      <c r="B266" s="145"/>
      <c r="C266" s="146"/>
      <c r="D266" s="38" t="s">
        <v>7</v>
      </c>
      <c r="E266" s="31">
        <f t="shared" si="143"/>
        <v>1508397.5386999999</v>
      </c>
      <c r="F266" s="31">
        <f>ROUND(F107+F143+F165+F172+F200+F214,5)</f>
        <v>13612.67432</v>
      </c>
      <c r="G266" s="121">
        <f t="shared" ref="G266:I266" si="147">ROUND(G107+G143+G165+G172+G200+G214,5)</f>
        <v>12464.799000000001</v>
      </c>
      <c r="H266" s="31">
        <f t="shared" si="147"/>
        <v>246350.72250999999</v>
      </c>
      <c r="I266" s="31">
        <f t="shared" si="147"/>
        <v>247169.34286999999</v>
      </c>
      <c r="J266" s="31">
        <f>ROUND(J107+J143+J165+J172+J200+J214,5)</f>
        <v>988800</v>
      </c>
    </row>
    <row r="267" spans="1:10" s="16" customFormat="1" ht="12.75" customHeight="1" x14ac:dyDescent="0.25">
      <c r="A267" s="145" t="s">
        <v>71</v>
      </c>
      <c r="B267" s="145"/>
      <c r="C267" s="146"/>
      <c r="D267" s="39" t="s">
        <v>3</v>
      </c>
      <c r="E267" s="32">
        <f t="shared" si="143"/>
        <v>2269351.8510199999</v>
      </c>
      <c r="F267" s="32">
        <f t="shared" ref="F267:J267" si="148">ROUND(SUM(F268:F273),5)</f>
        <v>36128.651019999998</v>
      </c>
      <c r="G267" s="122">
        <f t="shared" si="148"/>
        <v>0</v>
      </c>
      <c r="H267" s="32">
        <f t="shared" ref="H267:I267" si="149">ROUND(SUM(H268:H273),5)</f>
        <v>0</v>
      </c>
      <c r="I267" s="32">
        <f t="shared" si="149"/>
        <v>0</v>
      </c>
      <c r="J267" s="32">
        <f t="shared" si="148"/>
        <v>2233223.2000000002</v>
      </c>
    </row>
    <row r="268" spans="1:10" x14ac:dyDescent="0.25">
      <c r="A268" s="145"/>
      <c r="B268" s="145"/>
      <c r="C268" s="146"/>
      <c r="D268" s="38" t="s">
        <v>4</v>
      </c>
      <c r="E268" s="31">
        <f t="shared" si="143"/>
        <v>0</v>
      </c>
      <c r="F268" s="31">
        <f t="shared" ref="F268:J272" si="150">ROUND(F153+F181+F209,5)</f>
        <v>0</v>
      </c>
      <c r="G268" s="121">
        <f t="shared" si="150"/>
        <v>0</v>
      </c>
      <c r="H268" s="31">
        <f t="shared" si="150"/>
        <v>0</v>
      </c>
      <c r="I268" s="31">
        <f t="shared" si="150"/>
        <v>0</v>
      </c>
      <c r="J268" s="31">
        <f t="shared" si="150"/>
        <v>0</v>
      </c>
    </row>
    <row r="269" spans="1:10" ht="31.5" x14ac:dyDescent="0.25">
      <c r="A269" s="145"/>
      <c r="B269" s="145"/>
      <c r="C269" s="146"/>
      <c r="D269" s="38" t="s">
        <v>5</v>
      </c>
      <c r="E269" s="31">
        <f t="shared" si="143"/>
        <v>0</v>
      </c>
      <c r="F269" s="31">
        <f t="shared" si="150"/>
        <v>0</v>
      </c>
      <c r="G269" s="121">
        <f t="shared" si="150"/>
        <v>0</v>
      </c>
      <c r="H269" s="31">
        <f t="shared" si="150"/>
        <v>0</v>
      </c>
      <c r="I269" s="31">
        <f t="shared" si="150"/>
        <v>0</v>
      </c>
      <c r="J269" s="31">
        <f t="shared" si="150"/>
        <v>0</v>
      </c>
    </row>
    <row r="270" spans="1:10" x14ac:dyDescent="0.25">
      <c r="A270" s="145"/>
      <c r="B270" s="145"/>
      <c r="C270" s="146"/>
      <c r="D270" s="38" t="s">
        <v>6</v>
      </c>
      <c r="E270" s="31">
        <f t="shared" si="143"/>
        <v>250278.45102000001</v>
      </c>
      <c r="F270" s="31">
        <f>ROUND(F155+F183+F204,5)</f>
        <v>36128.651019999998</v>
      </c>
      <c r="G270" s="121">
        <f t="shared" si="150"/>
        <v>0</v>
      </c>
      <c r="H270" s="31">
        <f t="shared" si="150"/>
        <v>0</v>
      </c>
      <c r="I270" s="31">
        <f t="shared" si="150"/>
        <v>0</v>
      </c>
      <c r="J270" s="31">
        <f t="shared" si="150"/>
        <v>214149.8</v>
      </c>
    </row>
    <row r="271" spans="1:10" ht="31.5" x14ac:dyDescent="0.25">
      <c r="A271" s="145"/>
      <c r="B271" s="145"/>
      <c r="C271" s="146"/>
      <c r="D271" s="38" t="s">
        <v>8</v>
      </c>
      <c r="E271" s="31">
        <f t="shared" si="143"/>
        <v>0</v>
      </c>
      <c r="F271" s="31">
        <f t="shared" si="150"/>
        <v>0</v>
      </c>
      <c r="G271" s="121">
        <f t="shared" si="150"/>
        <v>0</v>
      </c>
      <c r="H271" s="31">
        <f t="shared" si="150"/>
        <v>0</v>
      </c>
      <c r="I271" s="31">
        <f t="shared" si="150"/>
        <v>0</v>
      </c>
      <c r="J271" s="31">
        <f t="shared" si="150"/>
        <v>0</v>
      </c>
    </row>
    <row r="272" spans="1:10" x14ac:dyDescent="0.25">
      <c r="A272" s="145"/>
      <c r="B272" s="145"/>
      <c r="C272" s="146"/>
      <c r="D272" s="38" t="s">
        <v>18</v>
      </c>
      <c r="E272" s="31">
        <f t="shared" si="143"/>
        <v>0</v>
      </c>
      <c r="F272" s="31">
        <f t="shared" si="150"/>
        <v>0</v>
      </c>
      <c r="G272" s="121">
        <f t="shared" si="150"/>
        <v>0</v>
      </c>
      <c r="H272" s="31">
        <f t="shared" si="150"/>
        <v>0</v>
      </c>
      <c r="I272" s="31">
        <f t="shared" si="150"/>
        <v>0</v>
      </c>
      <c r="J272" s="31">
        <f t="shared" si="150"/>
        <v>0</v>
      </c>
    </row>
    <row r="273" spans="1:10" x14ac:dyDescent="0.25">
      <c r="A273" s="145"/>
      <c r="B273" s="145"/>
      <c r="C273" s="146"/>
      <c r="D273" s="38" t="s">
        <v>7</v>
      </c>
      <c r="E273" s="31">
        <f t="shared" si="143"/>
        <v>2019073.4</v>
      </c>
      <c r="F273" s="31">
        <f>ROUND(F158+F186+F207,5)</f>
        <v>0</v>
      </c>
      <c r="G273" s="121">
        <f>ROUND(G158+G186+G207,5)</f>
        <v>0</v>
      </c>
      <c r="H273" s="31">
        <f t="shared" ref="H273:I273" si="151">ROUND(H158+H186+H207,5)</f>
        <v>0</v>
      </c>
      <c r="I273" s="31">
        <f t="shared" si="151"/>
        <v>0</v>
      </c>
      <c r="J273" s="31">
        <f>ROUND(J158+J186+J207,5)</f>
        <v>2019073.4</v>
      </c>
    </row>
    <row r="274" spans="1:10" s="16" customFormat="1" x14ac:dyDescent="0.25">
      <c r="A274" s="145" t="s">
        <v>49</v>
      </c>
      <c r="B274" s="145"/>
      <c r="C274" s="146"/>
      <c r="D274" s="39" t="s">
        <v>3</v>
      </c>
      <c r="E274" s="32">
        <f t="shared" si="143"/>
        <v>0</v>
      </c>
      <c r="F274" s="32">
        <f t="shared" ref="F274:J274" si="152">ROUND(SUM(F275:F280),5)</f>
        <v>0</v>
      </c>
      <c r="G274" s="122">
        <f t="shared" si="152"/>
        <v>0</v>
      </c>
      <c r="H274" s="32">
        <f t="shared" ref="H274:I274" si="153">ROUND(SUM(H275:H280),5)</f>
        <v>0</v>
      </c>
      <c r="I274" s="32">
        <f t="shared" si="153"/>
        <v>0</v>
      </c>
      <c r="J274" s="32">
        <f t="shared" si="152"/>
        <v>0</v>
      </c>
    </row>
    <row r="275" spans="1:10" x14ac:dyDescent="0.25">
      <c r="A275" s="145"/>
      <c r="B275" s="145"/>
      <c r="C275" s="146"/>
      <c r="D275" s="38" t="s">
        <v>4</v>
      </c>
      <c r="E275" s="31">
        <f t="shared" si="143"/>
        <v>0</v>
      </c>
      <c r="F275" s="41">
        <f t="shared" ref="F275:J280" si="154">ROUND(F188,5)</f>
        <v>0</v>
      </c>
      <c r="G275" s="124">
        <f t="shared" si="154"/>
        <v>0</v>
      </c>
      <c r="H275" s="41">
        <f t="shared" si="154"/>
        <v>0</v>
      </c>
      <c r="I275" s="41">
        <f t="shared" si="154"/>
        <v>0</v>
      </c>
      <c r="J275" s="41">
        <f t="shared" si="154"/>
        <v>0</v>
      </c>
    </row>
    <row r="276" spans="1:10" ht="31.5" x14ac:dyDescent="0.25">
      <c r="A276" s="145"/>
      <c r="B276" s="145"/>
      <c r="C276" s="146"/>
      <c r="D276" s="38" t="s">
        <v>5</v>
      </c>
      <c r="E276" s="31">
        <f t="shared" si="143"/>
        <v>0</v>
      </c>
      <c r="F276" s="41">
        <f t="shared" si="154"/>
        <v>0</v>
      </c>
      <c r="G276" s="124">
        <f t="shared" si="154"/>
        <v>0</v>
      </c>
      <c r="H276" s="41">
        <f t="shared" si="154"/>
        <v>0</v>
      </c>
      <c r="I276" s="41">
        <f t="shared" si="154"/>
        <v>0</v>
      </c>
      <c r="J276" s="41">
        <f t="shared" si="154"/>
        <v>0</v>
      </c>
    </row>
    <row r="277" spans="1:10" x14ac:dyDescent="0.25">
      <c r="A277" s="145"/>
      <c r="B277" s="145"/>
      <c r="C277" s="146"/>
      <c r="D277" s="38" t="s">
        <v>6</v>
      </c>
      <c r="E277" s="31">
        <f t="shared" si="143"/>
        <v>0</v>
      </c>
      <c r="F277" s="41">
        <f t="shared" si="154"/>
        <v>0</v>
      </c>
      <c r="G277" s="124">
        <f t="shared" si="154"/>
        <v>0</v>
      </c>
      <c r="H277" s="41">
        <f t="shared" si="154"/>
        <v>0</v>
      </c>
      <c r="I277" s="41">
        <f t="shared" si="154"/>
        <v>0</v>
      </c>
      <c r="J277" s="41">
        <f t="shared" si="154"/>
        <v>0</v>
      </c>
    </row>
    <row r="278" spans="1:10" ht="31.5" x14ac:dyDescent="0.25">
      <c r="A278" s="145"/>
      <c r="B278" s="145"/>
      <c r="C278" s="146"/>
      <c r="D278" s="38" t="s">
        <v>8</v>
      </c>
      <c r="E278" s="31">
        <f t="shared" si="143"/>
        <v>0</v>
      </c>
      <c r="F278" s="41">
        <f t="shared" si="154"/>
        <v>0</v>
      </c>
      <c r="G278" s="124">
        <f t="shared" si="154"/>
        <v>0</v>
      </c>
      <c r="H278" s="41">
        <f t="shared" si="154"/>
        <v>0</v>
      </c>
      <c r="I278" s="41">
        <f t="shared" si="154"/>
        <v>0</v>
      </c>
      <c r="J278" s="41">
        <f t="shared" si="154"/>
        <v>0</v>
      </c>
    </row>
    <row r="279" spans="1:10" x14ac:dyDescent="0.25">
      <c r="A279" s="145"/>
      <c r="B279" s="145"/>
      <c r="C279" s="146"/>
      <c r="D279" s="38" t="s">
        <v>18</v>
      </c>
      <c r="E279" s="31">
        <f t="shared" si="143"/>
        <v>0</v>
      </c>
      <c r="F279" s="41">
        <f t="shared" si="154"/>
        <v>0</v>
      </c>
      <c r="G279" s="124">
        <f t="shared" si="154"/>
        <v>0</v>
      </c>
      <c r="H279" s="41">
        <f t="shared" si="154"/>
        <v>0</v>
      </c>
      <c r="I279" s="41">
        <f t="shared" si="154"/>
        <v>0</v>
      </c>
      <c r="J279" s="41">
        <f t="shared" si="154"/>
        <v>0</v>
      </c>
    </row>
    <row r="280" spans="1:10" x14ac:dyDescent="0.25">
      <c r="A280" s="145"/>
      <c r="B280" s="145"/>
      <c r="C280" s="146"/>
      <c r="D280" s="38" t="s">
        <v>19</v>
      </c>
      <c r="E280" s="31">
        <f t="shared" si="143"/>
        <v>0</v>
      </c>
      <c r="F280" s="41">
        <f t="shared" si="154"/>
        <v>0</v>
      </c>
      <c r="G280" s="124">
        <f t="shared" si="154"/>
        <v>0</v>
      </c>
      <c r="H280" s="41">
        <f t="shared" si="154"/>
        <v>0</v>
      </c>
      <c r="I280" s="41">
        <f t="shared" si="154"/>
        <v>0</v>
      </c>
      <c r="J280" s="41">
        <f t="shared" si="154"/>
        <v>0</v>
      </c>
    </row>
    <row r="281" spans="1:10" s="16" customFormat="1" x14ac:dyDescent="0.25">
      <c r="A281" s="145" t="s">
        <v>48</v>
      </c>
      <c r="B281" s="145"/>
      <c r="C281" s="146"/>
      <c r="D281" s="39" t="s">
        <v>3</v>
      </c>
      <c r="E281" s="32">
        <f t="shared" si="143"/>
        <v>800</v>
      </c>
      <c r="F281" s="32">
        <f t="shared" ref="F281:J281" si="155">ROUND(SUM(F282:F287),5)</f>
        <v>100</v>
      </c>
      <c r="G281" s="122">
        <f t="shared" si="155"/>
        <v>100</v>
      </c>
      <c r="H281" s="32">
        <f t="shared" ref="H281:I281" si="156">ROUND(SUM(H282:H287),5)</f>
        <v>100</v>
      </c>
      <c r="I281" s="32">
        <f t="shared" si="156"/>
        <v>100</v>
      </c>
      <c r="J281" s="32">
        <f t="shared" si="155"/>
        <v>400</v>
      </c>
    </row>
    <row r="282" spans="1:10" x14ac:dyDescent="0.25">
      <c r="A282" s="145"/>
      <c r="B282" s="145"/>
      <c r="C282" s="146"/>
      <c r="D282" s="38" t="s">
        <v>4</v>
      </c>
      <c r="E282" s="31">
        <f t="shared" si="143"/>
        <v>0</v>
      </c>
      <c r="F282" s="42">
        <f t="shared" ref="F282:J282" si="157">F95</f>
        <v>0</v>
      </c>
      <c r="G282" s="123">
        <f t="shared" si="157"/>
        <v>0</v>
      </c>
      <c r="H282" s="42">
        <f t="shared" ref="H282:I282" si="158">H95</f>
        <v>0</v>
      </c>
      <c r="I282" s="42">
        <f t="shared" si="158"/>
        <v>0</v>
      </c>
      <c r="J282" s="42">
        <f t="shared" si="157"/>
        <v>0</v>
      </c>
    </row>
    <row r="283" spans="1:10" ht="31.5" x14ac:dyDescent="0.25">
      <c r="A283" s="145"/>
      <c r="B283" s="145"/>
      <c r="C283" s="146"/>
      <c r="D283" s="38" t="s">
        <v>5</v>
      </c>
      <c r="E283" s="31">
        <f t="shared" si="143"/>
        <v>0</v>
      </c>
      <c r="F283" s="42">
        <f t="shared" ref="F283:J287" si="159">F96</f>
        <v>0</v>
      </c>
      <c r="G283" s="123">
        <f t="shared" si="159"/>
        <v>0</v>
      </c>
      <c r="H283" s="42">
        <f t="shared" ref="H283:I283" si="160">H96</f>
        <v>0</v>
      </c>
      <c r="I283" s="42">
        <f t="shared" si="160"/>
        <v>0</v>
      </c>
      <c r="J283" s="42">
        <f t="shared" si="159"/>
        <v>0</v>
      </c>
    </row>
    <row r="284" spans="1:10" x14ac:dyDescent="0.25">
      <c r="A284" s="145"/>
      <c r="B284" s="145"/>
      <c r="C284" s="146"/>
      <c r="D284" s="38" t="s">
        <v>6</v>
      </c>
      <c r="E284" s="31">
        <f t="shared" si="143"/>
        <v>800</v>
      </c>
      <c r="F284" s="41">
        <f t="shared" si="159"/>
        <v>100</v>
      </c>
      <c r="G284" s="124">
        <f t="shared" si="159"/>
        <v>100</v>
      </c>
      <c r="H284" s="41">
        <f t="shared" ref="H284:I284" si="161">H97</f>
        <v>100</v>
      </c>
      <c r="I284" s="41">
        <f t="shared" si="161"/>
        <v>100</v>
      </c>
      <c r="J284" s="41">
        <f t="shared" si="159"/>
        <v>400</v>
      </c>
    </row>
    <row r="285" spans="1:10" ht="31.5" x14ac:dyDescent="0.25">
      <c r="A285" s="145"/>
      <c r="B285" s="145"/>
      <c r="C285" s="146"/>
      <c r="D285" s="38" t="s">
        <v>8</v>
      </c>
      <c r="E285" s="31">
        <f t="shared" si="143"/>
        <v>0</v>
      </c>
      <c r="F285" s="42">
        <f t="shared" si="159"/>
        <v>0</v>
      </c>
      <c r="G285" s="123">
        <f t="shared" si="159"/>
        <v>0</v>
      </c>
      <c r="H285" s="42">
        <f t="shared" ref="H285:I285" si="162">H98</f>
        <v>0</v>
      </c>
      <c r="I285" s="42">
        <f t="shared" si="162"/>
        <v>0</v>
      </c>
      <c r="J285" s="42">
        <f t="shared" si="159"/>
        <v>0</v>
      </c>
    </row>
    <row r="286" spans="1:10" x14ac:dyDescent="0.25">
      <c r="A286" s="145"/>
      <c r="B286" s="145"/>
      <c r="C286" s="146"/>
      <c r="D286" s="38" t="s">
        <v>18</v>
      </c>
      <c r="E286" s="31">
        <f t="shared" si="143"/>
        <v>0</v>
      </c>
      <c r="F286" s="42">
        <f t="shared" si="159"/>
        <v>0</v>
      </c>
      <c r="G286" s="123">
        <f t="shared" si="159"/>
        <v>0</v>
      </c>
      <c r="H286" s="42">
        <f t="shared" ref="H286:I286" si="163">H99</f>
        <v>0</v>
      </c>
      <c r="I286" s="42">
        <f t="shared" si="163"/>
        <v>0</v>
      </c>
      <c r="J286" s="42">
        <f t="shared" si="159"/>
        <v>0</v>
      </c>
    </row>
    <row r="287" spans="1:10" x14ac:dyDescent="0.25">
      <c r="A287" s="145"/>
      <c r="B287" s="145"/>
      <c r="C287" s="146"/>
      <c r="D287" s="38" t="s">
        <v>19</v>
      </c>
      <c r="E287" s="31">
        <f t="shared" si="143"/>
        <v>0</v>
      </c>
      <c r="F287" s="42">
        <f t="shared" si="159"/>
        <v>0</v>
      </c>
      <c r="G287" s="123">
        <f t="shared" si="159"/>
        <v>0</v>
      </c>
      <c r="H287" s="42">
        <f t="shared" ref="H287:I287" si="164">H100</f>
        <v>0</v>
      </c>
      <c r="I287" s="42">
        <f t="shared" si="164"/>
        <v>0</v>
      </c>
      <c r="J287" s="42">
        <f t="shared" si="159"/>
        <v>0</v>
      </c>
    </row>
    <row r="289" spans="5:10" x14ac:dyDescent="0.25">
      <c r="E289" s="46"/>
      <c r="F289" s="46"/>
      <c r="G289" s="125"/>
      <c r="H289" s="46"/>
      <c r="I289" s="46"/>
      <c r="J289" s="46"/>
    </row>
  </sheetData>
  <autoFilter ref="A4:J280" xr:uid="{00000000-0009-0000-0000-000000000000}">
    <filterColumn colId="4" showButton="0"/>
    <filterColumn colId="5" hiddenButton="1" showButton="0"/>
    <filterColumn colId="6" hiddenButton="1" showButton="0"/>
    <filterColumn colId="7" showButton="0"/>
    <filterColumn colId="8" hiddenButton="1" showButton="0"/>
    <filterColumn colId="9" hiddenButton="1" showButton="0"/>
  </autoFilter>
  <mergeCells count="116">
    <mergeCell ref="A66:A72"/>
    <mergeCell ref="B66:B72"/>
    <mergeCell ref="C66:C72"/>
    <mergeCell ref="A281:B287"/>
    <mergeCell ref="C281:C287"/>
    <mergeCell ref="C87:C93"/>
    <mergeCell ref="C94:C100"/>
    <mergeCell ref="B80:B100"/>
    <mergeCell ref="A80:A100"/>
    <mergeCell ref="C208:C214"/>
    <mergeCell ref="A173:A193"/>
    <mergeCell ref="B173:B193"/>
    <mergeCell ref="B208:B214"/>
    <mergeCell ref="A152:A158"/>
    <mergeCell ref="B152:B158"/>
    <mergeCell ref="C152:C158"/>
    <mergeCell ref="A145:A151"/>
    <mergeCell ref="B145:B151"/>
    <mergeCell ref="C145:C151"/>
    <mergeCell ref="C173:C179"/>
    <mergeCell ref="C166:C172"/>
    <mergeCell ref="B166:B172"/>
    <mergeCell ref="A166:A172"/>
    <mergeCell ref="C109:C115"/>
    <mergeCell ref="A274:B280"/>
    <mergeCell ref="C274:C280"/>
    <mergeCell ref="A267:B273"/>
    <mergeCell ref="C267:C273"/>
    <mergeCell ref="C252:C258"/>
    <mergeCell ref="A259:B259"/>
    <mergeCell ref="A222:B228"/>
    <mergeCell ref="C222:C228"/>
    <mergeCell ref="A252:B258"/>
    <mergeCell ref="A230:B236"/>
    <mergeCell ref="C230:C236"/>
    <mergeCell ref="A237:B243"/>
    <mergeCell ref="C237:C243"/>
    <mergeCell ref="A244:B244"/>
    <mergeCell ref="C73:C79"/>
    <mergeCell ref="A73:A79"/>
    <mergeCell ref="C80:C86"/>
    <mergeCell ref="A260:B266"/>
    <mergeCell ref="B215:B221"/>
    <mergeCell ref="C260:C266"/>
    <mergeCell ref="C245:C251"/>
    <mergeCell ref="C215:C221"/>
    <mergeCell ref="A215:A221"/>
    <mergeCell ref="A245:B251"/>
    <mergeCell ref="A229:B229"/>
    <mergeCell ref="A201:A207"/>
    <mergeCell ref="B201:B207"/>
    <mergeCell ref="C201:C207"/>
    <mergeCell ref="A108:J108"/>
    <mergeCell ref="A144:J144"/>
    <mergeCell ref="A123:A129"/>
    <mergeCell ref="B123:B129"/>
    <mergeCell ref="C123:C129"/>
    <mergeCell ref="C116:C122"/>
    <mergeCell ref="B116:B122"/>
    <mergeCell ref="A130:A136"/>
    <mergeCell ref="B130:B136"/>
    <mergeCell ref="C130:C136"/>
    <mergeCell ref="A59:A65"/>
    <mergeCell ref="B59:B65"/>
    <mergeCell ref="C59:C65"/>
    <mergeCell ref="A208:A214"/>
    <mergeCell ref="A159:A165"/>
    <mergeCell ref="B159:B165"/>
    <mergeCell ref="C159:C165"/>
    <mergeCell ref="B10:B16"/>
    <mergeCell ref="A31:A37"/>
    <mergeCell ref="C31:C37"/>
    <mergeCell ref="B31:B37"/>
    <mergeCell ref="A101:A107"/>
    <mergeCell ref="B101:B107"/>
    <mergeCell ref="C101:C107"/>
    <mergeCell ref="A38:A44"/>
    <mergeCell ref="B38:B44"/>
    <mergeCell ref="C38:C44"/>
    <mergeCell ref="A45:A51"/>
    <mergeCell ref="B45:B51"/>
    <mergeCell ref="C45:C51"/>
    <mergeCell ref="A52:A58"/>
    <mergeCell ref="B52:B58"/>
    <mergeCell ref="C52:C58"/>
    <mergeCell ref="B73:B79"/>
    <mergeCell ref="A1:J1"/>
    <mergeCell ref="A2:J2"/>
    <mergeCell ref="B24:B30"/>
    <mergeCell ref="D4:D7"/>
    <mergeCell ref="E4:J4"/>
    <mergeCell ref="C4:C7"/>
    <mergeCell ref="A4:A7"/>
    <mergeCell ref="C24:C30"/>
    <mergeCell ref="B4:B7"/>
    <mergeCell ref="A9:J9"/>
    <mergeCell ref="A24:A30"/>
    <mergeCell ref="F6:J6"/>
    <mergeCell ref="C10:C16"/>
    <mergeCell ref="E6:E7"/>
    <mergeCell ref="E5:J5"/>
    <mergeCell ref="A10:A16"/>
    <mergeCell ref="B17:B23"/>
    <mergeCell ref="A17:A23"/>
    <mergeCell ref="C17:C23"/>
    <mergeCell ref="C137:C143"/>
    <mergeCell ref="A137:A143"/>
    <mergeCell ref="B137:B143"/>
    <mergeCell ref="A116:A122"/>
    <mergeCell ref="A109:A115"/>
    <mergeCell ref="B109:B115"/>
    <mergeCell ref="C180:C186"/>
    <mergeCell ref="C194:C200"/>
    <mergeCell ref="A194:A200"/>
    <mergeCell ref="B194:B200"/>
    <mergeCell ref="C187:C193"/>
  </mergeCells>
  <phoneticPr fontId="2" type="noConversion"/>
  <pageMargins left="0.15748031496062992" right="0.15748031496062992" top="0.74803149606299213" bottom="0.31496062992125984" header="0.31496062992125984" footer="0.31496062992125984"/>
  <pageSetup paperSize="9" scale="63" fitToHeight="9" orientation="landscape" r:id="rId1"/>
  <rowBreaks count="8" manualBreakCount="8">
    <brk id="37" max="9" man="1"/>
    <brk id="65" max="9" man="1"/>
    <brk id="100" max="9" man="1"/>
    <brk id="129" max="9" man="1"/>
    <brk id="158" max="9" man="1"/>
    <brk id="193" max="9" man="1"/>
    <brk id="221" max="9" man="1"/>
    <brk id="25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C141C-E572-4725-890E-780B686FC95A}">
  <sheetPr>
    <pageSetUpPr fitToPage="1"/>
  </sheetPr>
  <dimension ref="A1:F55"/>
  <sheetViews>
    <sheetView view="pageBreakPreview" zoomScale="73" zoomScaleNormal="80" zoomScaleSheetLayoutView="73" workbookViewId="0">
      <selection activeCell="E29" sqref="E29"/>
    </sheetView>
  </sheetViews>
  <sheetFormatPr defaultRowHeight="15.75" x14ac:dyDescent="0.25"/>
  <cols>
    <col min="1" max="1" width="18.28515625" style="60" customWidth="1"/>
    <col min="2" max="2" width="55.140625" style="51" customWidth="1"/>
    <col min="3" max="3" width="57.85546875" style="51" customWidth="1"/>
    <col min="4" max="4" width="69.28515625" style="51" customWidth="1"/>
    <col min="5" max="16384" width="9.140625" style="51"/>
  </cols>
  <sheetData>
    <row r="1" spans="1:4" ht="15.75" customHeight="1" x14ac:dyDescent="0.25">
      <c r="A1" s="152" t="s">
        <v>97</v>
      </c>
      <c r="B1" s="152"/>
      <c r="C1" s="152"/>
      <c r="D1" s="152"/>
    </row>
    <row r="2" spans="1:4" x14ac:dyDescent="0.25">
      <c r="A2" s="153" t="s">
        <v>98</v>
      </c>
      <c r="B2" s="153"/>
      <c r="C2" s="153"/>
      <c r="D2" s="153"/>
    </row>
    <row r="4" spans="1:4" ht="61.5" customHeight="1" x14ac:dyDescent="0.25">
      <c r="A4" s="52" t="s">
        <v>37</v>
      </c>
      <c r="B4" s="52" t="s">
        <v>99</v>
      </c>
      <c r="C4" s="52" t="s">
        <v>100</v>
      </c>
      <c r="D4" s="52" t="s">
        <v>101</v>
      </c>
    </row>
    <row r="5" spans="1:4" s="54" customFormat="1" ht="12.75" x14ac:dyDescent="0.25">
      <c r="A5" s="53">
        <v>1</v>
      </c>
      <c r="B5" s="53">
        <v>2</v>
      </c>
      <c r="C5" s="53">
        <v>3</v>
      </c>
      <c r="D5" s="53">
        <v>4</v>
      </c>
    </row>
    <row r="6" spans="1:4" ht="31.5" customHeight="1" x14ac:dyDescent="0.25">
      <c r="A6" s="154" t="s">
        <v>102</v>
      </c>
      <c r="B6" s="154"/>
      <c r="C6" s="154"/>
      <c r="D6" s="154"/>
    </row>
    <row r="7" spans="1:4" ht="50.25" customHeight="1" x14ac:dyDescent="0.25">
      <c r="A7" s="154" t="s">
        <v>103</v>
      </c>
      <c r="B7" s="154"/>
      <c r="C7" s="154"/>
      <c r="D7" s="154"/>
    </row>
    <row r="8" spans="1:4" x14ac:dyDescent="0.25">
      <c r="A8" s="154" t="s">
        <v>22</v>
      </c>
      <c r="B8" s="154"/>
      <c r="C8" s="154"/>
      <c r="D8" s="154"/>
    </row>
    <row r="9" spans="1:4" ht="79.5" customHeight="1" x14ac:dyDescent="0.25">
      <c r="A9" s="55" t="s">
        <v>23</v>
      </c>
      <c r="B9" s="56" t="s">
        <v>104</v>
      </c>
      <c r="C9" s="56" t="s">
        <v>105</v>
      </c>
      <c r="D9" s="56" t="s">
        <v>106</v>
      </c>
    </row>
    <row r="10" spans="1:4" ht="79.5" customHeight="1" x14ac:dyDescent="0.25">
      <c r="A10" s="55" t="s">
        <v>26</v>
      </c>
      <c r="B10" s="56" t="s">
        <v>107</v>
      </c>
      <c r="C10" s="57" t="s">
        <v>108</v>
      </c>
      <c r="D10" s="56" t="s">
        <v>109</v>
      </c>
    </row>
    <row r="11" spans="1:4" ht="80.25" customHeight="1" x14ac:dyDescent="0.25">
      <c r="A11" s="150" t="s">
        <v>32</v>
      </c>
      <c r="B11" s="151" t="s">
        <v>110</v>
      </c>
      <c r="C11" s="56" t="s">
        <v>111</v>
      </c>
      <c r="D11" s="56" t="s">
        <v>106</v>
      </c>
    </row>
    <row r="12" spans="1:4" ht="80.25" customHeight="1" x14ac:dyDescent="0.25">
      <c r="A12" s="150"/>
      <c r="B12" s="151"/>
      <c r="C12" s="56" t="s">
        <v>112</v>
      </c>
      <c r="D12" s="56" t="s">
        <v>106</v>
      </c>
    </row>
    <row r="13" spans="1:4" ht="80.25" customHeight="1" x14ac:dyDescent="0.25">
      <c r="A13" s="150"/>
      <c r="B13" s="151"/>
      <c r="C13" s="56" t="s">
        <v>113</v>
      </c>
      <c r="D13" s="56" t="s">
        <v>109</v>
      </c>
    </row>
    <row r="14" spans="1:4" ht="114.75" customHeight="1" x14ac:dyDescent="0.25">
      <c r="A14" s="150"/>
      <c r="B14" s="151"/>
      <c r="C14" s="56" t="s">
        <v>114</v>
      </c>
      <c r="D14" s="56" t="s">
        <v>115</v>
      </c>
    </row>
    <row r="15" spans="1:4" ht="79.5" customHeight="1" x14ac:dyDescent="0.25">
      <c r="A15" s="150"/>
      <c r="B15" s="151"/>
      <c r="C15" s="56" t="s">
        <v>116</v>
      </c>
      <c r="D15" s="56" t="s">
        <v>106</v>
      </c>
    </row>
    <row r="16" spans="1:4" ht="96" customHeight="1" x14ac:dyDescent="0.25">
      <c r="A16" s="150" t="s">
        <v>24</v>
      </c>
      <c r="B16" s="145" t="s">
        <v>117</v>
      </c>
      <c r="C16" s="56" t="s">
        <v>118</v>
      </c>
      <c r="D16" s="56" t="s">
        <v>106</v>
      </c>
    </row>
    <row r="17" spans="1:6" ht="79.5" customHeight="1" x14ac:dyDescent="0.25">
      <c r="A17" s="150"/>
      <c r="B17" s="145"/>
      <c r="C17" s="56" t="s">
        <v>119</v>
      </c>
      <c r="D17" s="56" t="s">
        <v>106</v>
      </c>
    </row>
    <row r="18" spans="1:6" ht="80.25" customHeight="1" x14ac:dyDescent="0.25">
      <c r="A18" s="150"/>
      <c r="B18" s="145"/>
      <c r="C18" s="56" t="s">
        <v>120</v>
      </c>
      <c r="D18" s="56" t="s">
        <v>106</v>
      </c>
    </row>
    <row r="19" spans="1:6" ht="94.5" x14ac:dyDescent="0.25">
      <c r="A19" s="150"/>
      <c r="B19" s="145"/>
      <c r="C19" s="58" t="s">
        <v>121</v>
      </c>
      <c r="D19" s="56" t="s">
        <v>106</v>
      </c>
    </row>
    <row r="20" spans="1:6" ht="79.5" customHeight="1" x14ac:dyDescent="0.25">
      <c r="A20" s="150" t="s">
        <v>25</v>
      </c>
      <c r="B20" s="150" t="s">
        <v>122</v>
      </c>
      <c r="C20" s="56" t="s">
        <v>123</v>
      </c>
      <c r="D20" s="56" t="s">
        <v>106</v>
      </c>
    </row>
    <row r="21" spans="1:6" ht="114" customHeight="1" x14ac:dyDescent="0.25">
      <c r="A21" s="150"/>
      <c r="B21" s="150"/>
      <c r="C21" s="56" t="s">
        <v>124</v>
      </c>
      <c r="D21" s="57" t="s">
        <v>125</v>
      </c>
    </row>
    <row r="22" spans="1:6" ht="87" customHeight="1" x14ac:dyDescent="0.25">
      <c r="A22" s="150"/>
      <c r="B22" s="150"/>
      <c r="C22" s="57" t="s">
        <v>126</v>
      </c>
      <c r="D22" s="56" t="s">
        <v>127</v>
      </c>
    </row>
    <row r="23" spans="1:6" ht="87" customHeight="1" x14ac:dyDescent="0.25">
      <c r="A23" s="150"/>
      <c r="B23" s="150"/>
      <c r="C23" s="61" t="s">
        <v>96</v>
      </c>
      <c r="D23" s="49" t="s">
        <v>109</v>
      </c>
    </row>
    <row r="24" spans="1:6" ht="82.5" customHeight="1" x14ac:dyDescent="0.25">
      <c r="A24" s="150"/>
      <c r="B24" s="150"/>
      <c r="C24" s="57" t="s">
        <v>128</v>
      </c>
      <c r="D24" s="56" t="s">
        <v>109</v>
      </c>
    </row>
    <row r="25" spans="1:6" ht="80.25" customHeight="1" x14ac:dyDescent="0.25">
      <c r="A25" s="55" t="s">
        <v>51</v>
      </c>
      <c r="B25" s="56" t="s">
        <v>129</v>
      </c>
      <c r="C25" s="56" t="s">
        <v>130</v>
      </c>
      <c r="D25" s="56" t="s">
        <v>106</v>
      </c>
      <c r="F25" s="59"/>
    </row>
    <row r="26" spans="1:6" x14ac:dyDescent="0.25">
      <c r="A26" s="150" t="s">
        <v>77</v>
      </c>
      <c r="B26" s="151" t="s">
        <v>131</v>
      </c>
      <c r="C26" s="56" t="s">
        <v>132</v>
      </c>
      <c r="D26" s="56"/>
      <c r="F26" s="59"/>
    </row>
    <row r="27" spans="1:6" ht="78.75" customHeight="1" x14ac:dyDescent="0.25">
      <c r="A27" s="150"/>
      <c r="B27" s="151"/>
      <c r="C27" s="56" t="s">
        <v>133</v>
      </c>
      <c r="D27" s="56" t="s">
        <v>106</v>
      </c>
      <c r="F27"/>
    </row>
    <row r="28" spans="1:6" ht="80.25" customHeight="1" x14ac:dyDescent="0.25">
      <c r="A28" s="150"/>
      <c r="B28" s="151"/>
      <c r="C28" s="56" t="s">
        <v>134</v>
      </c>
      <c r="D28" s="56" t="s">
        <v>106</v>
      </c>
    </row>
    <row r="29" spans="1:6" ht="66.75" customHeight="1" x14ac:dyDescent="0.25">
      <c r="A29" s="150"/>
      <c r="B29" s="151"/>
      <c r="C29" s="56" t="s">
        <v>135</v>
      </c>
      <c r="D29" s="56" t="s">
        <v>106</v>
      </c>
    </row>
    <row r="30" spans="1:6" ht="31.5" x14ac:dyDescent="0.25">
      <c r="A30" s="150"/>
      <c r="B30" s="151"/>
      <c r="C30" s="56" t="s">
        <v>136</v>
      </c>
      <c r="D30" s="56"/>
    </row>
    <row r="31" spans="1:6" x14ac:dyDescent="0.25">
      <c r="A31" s="55"/>
      <c r="B31" s="56"/>
      <c r="C31" s="56"/>
      <c r="D31" s="56"/>
    </row>
    <row r="32" spans="1:6" hidden="1" x14ac:dyDescent="0.25">
      <c r="A32" s="150" t="s">
        <v>137</v>
      </c>
      <c r="B32" s="150"/>
      <c r="C32" s="150"/>
      <c r="D32" s="150"/>
    </row>
    <row r="33" spans="1:6" hidden="1" x14ac:dyDescent="0.25">
      <c r="A33" s="150" t="s">
        <v>138</v>
      </c>
      <c r="B33" s="150"/>
      <c r="C33" s="150"/>
      <c r="D33" s="150"/>
    </row>
    <row r="34" spans="1:6" hidden="1" x14ac:dyDescent="0.25">
      <c r="A34" s="150" t="s">
        <v>139</v>
      </c>
      <c r="B34" s="150"/>
      <c r="C34" s="150"/>
      <c r="D34" s="150"/>
    </row>
    <row r="35" spans="1:6" ht="82.5" hidden="1" customHeight="1" x14ac:dyDescent="0.25">
      <c r="A35" s="55" t="s">
        <v>27</v>
      </c>
      <c r="B35" s="56" t="s">
        <v>85</v>
      </c>
      <c r="C35" s="56" t="s">
        <v>140</v>
      </c>
      <c r="D35" s="56" t="s">
        <v>106</v>
      </c>
    </row>
    <row r="36" spans="1:6" ht="79.5" hidden="1" customHeight="1" x14ac:dyDescent="0.25">
      <c r="A36" s="150" t="s">
        <v>28</v>
      </c>
      <c r="B36" s="151" t="s">
        <v>141</v>
      </c>
      <c r="C36" s="57" t="s">
        <v>142</v>
      </c>
      <c r="D36" s="56" t="s">
        <v>106</v>
      </c>
    </row>
    <row r="37" spans="1:6" ht="78.75" hidden="1" customHeight="1" x14ac:dyDescent="0.25">
      <c r="A37" s="150"/>
      <c r="B37" s="151"/>
      <c r="C37" s="56" t="s">
        <v>143</v>
      </c>
      <c r="D37" s="56" t="s">
        <v>106</v>
      </c>
      <c r="F37"/>
    </row>
    <row r="38" spans="1:6" ht="80.25" hidden="1" customHeight="1" x14ac:dyDescent="0.25">
      <c r="A38" s="150" t="s">
        <v>35</v>
      </c>
      <c r="B38" s="151" t="s">
        <v>144</v>
      </c>
      <c r="C38" s="57" t="s">
        <v>145</v>
      </c>
      <c r="D38" s="56" t="s">
        <v>106</v>
      </c>
    </row>
    <row r="39" spans="1:6" ht="80.25" hidden="1" customHeight="1" x14ac:dyDescent="0.25">
      <c r="A39" s="150"/>
      <c r="B39" s="151"/>
      <c r="C39" s="57" t="s">
        <v>146</v>
      </c>
      <c r="D39" s="56" t="s">
        <v>106</v>
      </c>
    </row>
    <row r="40" spans="1:6" ht="80.25" hidden="1" customHeight="1" x14ac:dyDescent="0.25">
      <c r="A40" s="55" t="s">
        <v>52</v>
      </c>
      <c r="B40" s="57" t="s">
        <v>147</v>
      </c>
      <c r="C40" s="57" t="s">
        <v>148</v>
      </c>
      <c r="D40" s="56" t="s">
        <v>106</v>
      </c>
    </row>
    <row r="41" spans="1:6" x14ac:dyDescent="0.25">
      <c r="A41" s="150" t="s">
        <v>149</v>
      </c>
      <c r="B41" s="150"/>
      <c r="C41" s="150"/>
      <c r="D41" s="150"/>
    </row>
    <row r="42" spans="1:6" x14ac:dyDescent="0.25">
      <c r="A42" s="150" t="s">
        <v>150</v>
      </c>
      <c r="B42" s="150"/>
      <c r="C42" s="150"/>
      <c r="D42" s="150"/>
    </row>
    <row r="43" spans="1:6" x14ac:dyDescent="0.25">
      <c r="A43" s="150" t="s">
        <v>151</v>
      </c>
      <c r="B43" s="150"/>
      <c r="C43" s="150"/>
      <c r="D43" s="150"/>
    </row>
    <row r="44" spans="1:6" ht="65.25" customHeight="1" x14ac:dyDescent="0.25">
      <c r="A44" s="55" t="s">
        <v>29</v>
      </c>
      <c r="B44" s="56" t="s">
        <v>152</v>
      </c>
      <c r="C44" s="56" t="s">
        <v>153</v>
      </c>
      <c r="D44" s="56"/>
    </row>
    <row r="45" spans="1:6" ht="31.5" x14ac:dyDescent="0.25">
      <c r="A45" s="55" t="s">
        <v>30</v>
      </c>
      <c r="B45" s="56" t="s">
        <v>154</v>
      </c>
      <c r="C45" s="56" t="s">
        <v>155</v>
      </c>
      <c r="D45" s="56"/>
    </row>
    <row r="46" spans="1:6" ht="79.5" customHeight="1" x14ac:dyDescent="0.25">
      <c r="A46" s="55" t="s">
        <v>31</v>
      </c>
      <c r="B46" s="56" t="s">
        <v>156</v>
      </c>
      <c r="C46" s="57" t="s">
        <v>157</v>
      </c>
      <c r="D46" s="56" t="s">
        <v>109</v>
      </c>
    </row>
    <row r="47" spans="1:6" ht="94.5" x14ac:dyDescent="0.25">
      <c r="A47" s="55" t="s">
        <v>40</v>
      </c>
      <c r="B47" s="56" t="s">
        <v>158</v>
      </c>
      <c r="C47" s="57" t="s">
        <v>159</v>
      </c>
      <c r="D47" s="56" t="s">
        <v>106</v>
      </c>
    </row>
    <row r="48" spans="1:6" ht="31.5" x14ac:dyDescent="0.25">
      <c r="A48" s="150" t="s">
        <v>41</v>
      </c>
      <c r="B48" s="151" t="s">
        <v>160</v>
      </c>
      <c r="C48" s="56" t="s">
        <v>155</v>
      </c>
      <c r="D48" s="57"/>
    </row>
    <row r="49" spans="1:4" ht="76.5" customHeight="1" x14ac:dyDescent="0.25">
      <c r="A49" s="150"/>
      <c r="B49" s="151"/>
      <c r="C49" s="56" t="s">
        <v>153</v>
      </c>
      <c r="D49" s="57"/>
    </row>
    <row r="50" spans="1:4" ht="47.25" x14ac:dyDescent="0.25">
      <c r="A50" s="150" t="s">
        <v>42</v>
      </c>
      <c r="B50" s="151" t="s">
        <v>161</v>
      </c>
      <c r="C50" s="57" t="s">
        <v>162</v>
      </c>
      <c r="D50" s="57"/>
    </row>
    <row r="51" spans="1:4" ht="169.5" customHeight="1" x14ac:dyDescent="0.25">
      <c r="A51" s="150"/>
      <c r="B51" s="151"/>
      <c r="C51" s="57" t="s">
        <v>163</v>
      </c>
      <c r="D51" s="57"/>
    </row>
    <row r="52" spans="1:4" ht="110.25" x14ac:dyDescent="0.25">
      <c r="A52" s="150"/>
      <c r="B52" s="151"/>
      <c r="C52" s="56" t="s">
        <v>164</v>
      </c>
      <c r="D52" s="56" t="s">
        <v>106</v>
      </c>
    </row>
    <row r="53" spans="1:4" ht="63" x14ac:dyDescent="0.25">
      <c r="A53" s="55" t="s">
        <v>53</v>
      </c>
      <c r="B53" s="56" t="s">
        <v>165</v>
      </c>
      <c r="C53" s="56" t="s">
        <v>155</v>
      </c>
      <c r="D53" s="57"/>
    </row>
    <row r="54" spans="1:4" ht="81.75" customHeight="1" x14ac:dyDescent="0.25">
      <c r="A54" s="150" t="s">
        <v>54</v>
      </c>
      <c r="B54" s="151" t="s">
        <v>166</v>
      </c>
      <c r="C54" s="57" t="s">
        <v>167</v>
      </c>
      <c r="D54" s="56" t="s">
        <v>106</v>
      </c>
    </row>
    <row r="55" spans="1:4" ht="117.75" customHeight="1" x14ac:dyDescent="0.25">
      <c r="A55" s="150"/>
      <c r="B55" s="151"/>
      <c r="C55" s="57" t="s">
        <v>168</v>
      </c>
      <c r="D55" s="56" t="s">
        <v>106</v>
      </c>
    </row>
  </sheetData>
  <mergeCells count="29">
    <mergeCell ref="A54:A55"/>
    <mergeCell ref="B54:B55"/>
    <mergeCell ref="A41:D41"/>
    <mergeCell ref="A42:D42"/>
    <mergeCell ref="A43:D43"/>
    <mergeCell ref="A48:A49"/>
    <mergeCell ref="B48:B49"/>
    <mergeCell ref="A50:A52"/>
    <mergeCell ref="B50:B52"/>
    <mergeCell ref="A38:A39"/>
    <mergeCell ref="B38:B39"/>
    <mergeCell ref="A16:A19"/>
    <mergeCell ref="B16:B19"/>
    <mergeCell ref="A20:A24"/>
    <mergeCell ref="B20:B24"/>
    <mergeCell ref="A26:A30"/>
    <mergeCell ref="B26:B30"/>
    <mergeCell ref="A32:D32"/>
    <mergeCell ref="A33:D33"/>
    <mergeCell ref="A34:D34"/>
    <mergeCell ref="A36:A37"/>
    <mergeCell ref="B36:B37"/>
    <mergeCell ref="A11:A15"/>
    <mergeCell ref="B11:B15"/>
    <mergeCell ref="A1:D1"/>
    <mergeCell ref="A2:D2"/>
    <mergeCell ref="A6:D6"/>
    <mergeCell ref="A7:D7"/>
    <mergeCell ref="A8:D8"/>
  </mergeCells>
  <pageMargins left="0.7" right="0.7" top="0.75" bottom="0.75" header="0.3" footer="0.3"/>
  <pageSetup paperSize="9" scale="6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47966-4CAF-4AB2-8797-F7A108C36450}">
  <sheetPr>
    <pageSetUpPr fitToPage="1"/>
  </sheetPr>
  <dimension ref="A1:M37"/>
  <sheetViews>
    <sheetView view="pageBreakPreview" zoomScale="69" zoomScaleNormal="69" zoomScaleSheetLayoutView="69" workbookViewId="0">
      <selection activeCell="P34" sqref="P34"/>
    </sheetView>
  </sheetViews>
  <sheetFormatPr defaultRowHeight="15.75" x14ac:dyDescent="0.25"/>
  <cols>
    <col min="1" max="1" width="5.5703125" style="62" customWidth="1"/>
    <col min="2" max="2" width="33.85546875" style="62" customWidth="1"/>
    <col min="3" max="3" width="17.42578125" style="62" customWidth="1"/>
    <col min="4" max="5" width="19.5703125" style="62" customWidth="1"/>
    <col min="6" max="6" width="13.140625" style="62" customWidth="1"/>
    <col min="7" max="7" width="18.28515625" style="62" customWidth="1"/>
    <col min="8" max="8" width="15.28515625" style="62" customWidth="1"/>
    <col min="9" max="10" width="16.5703125" style="62" customWidth="1"/>
    <col min="11" max="11" width="19" style="62" hidden="1" customWidth="1"/>
    <col min="12" max="12" width="18.28515625" style="62" customWidth="1"/>
    <col min="13" max="13" width="19" style="62" customWidth="1"/>
    <col min="14" max="14" width="19.5703125" customWidth="1"/>
    <col min="15" max="15" width="14.85546875" customWidth="1"/>
    <col min="16" max="16" width="13" customWidth="1"/>
    <col min="257" max="257" width="5.5703125" customWidth="1"/>
    <col min="258" max="258" width="33.85546875" customWidth="1"/>
    <col min="259" max="259" width="17.42578125" customWidth="1"/>
    <col min="260" max="261" width="19.5703125" customWidth="1"/>
    <col min="262" max="262" width="13.140625" customWidth="1"/>
    <col min="263" max="263" width="18.28515625" customWidth="1"/>
    <col min="264" max="264" width="15.28515625" customWidth="1"/>
    <col min="265" max="266" width="16.5703125" customWidth="1"/>
    <col min="267" max="267" width="0" hidden="1" customWidth="1"/>
    <col min="268" max="268" width="18.28515625" customWidth="1"/>
    <col min="269" max="269" width="19" customWidth="1"/>
    <col min="270" max="270" width="19.5703125" customWidth="1"/>
    <col min="271" max="271" width="14.85546875" customWidth="1"/>
    <col min="272" max="272" width="13" customWidth="1"/>
    <col min="513" max="513" width="5.5703125" customWidth="1"/>
    <col min="514" max="514" width="33.85546875" customWidth="1"/>
    <col min="515" max="515" width="17.42578125" customWidth="1"/>
    <col min="516" max="517" width="19.5703125" customWidth="1"/>
    <col min="518" max="518" width="13.140625" customWidth="1"/>
    <col min="519" max="519" width="18.28515625" customWidth="1"/>
    <col min="520" max="520" width="15.28515625" customWidth="1"/>
    <col min="521" max="522" width="16.5703125" customWidth="1"/>
    <col min="523" max="523" width="0" hidden="1" customWidth="1"/>
    <col min="524" max="524" width="18.28515625" customWidth="1"/>
    <col min="525" max="525" width="19" customWidth="1"/>
    <col min="526" max="526" width="19.5703125" customWidth="1"/>
    <col min="527" max="527" width="14.85546875" customWidth="1"/>
    <col min="528" max="528" width="13" customWidth="1"/>
    <col min="769" max="769" width="5.5703125" customWidth="1"/>
    <col min="770" max="770" width="33.85546875" customWidth="1"/>
    <col min="771" max="771" width="17.42578125" customWidth="1"/>
    <col min="772" max="773" width="19.5703125" customWidth="1"/>
    <col min="774" max="774" width="13.140625" customWidth="1"/>
    <col min="775" max="775" width="18.28515625" customWidth="1"/>
    <col min="776" max="776" width="15.28515625" customWidth="1"/>
    <col min="777" max="778" width="16.5703125" customWidth="1"/>
    <col min="779" max="779" width="0" hidden="1" customWidth="1"/>
    <col min="780" max="780" width="18.28515625" customWidth="1"/>
    <col min="781" max="781" width="19" customWidth="1"/>
    <col min="782" max="782" width="19.5703125" customWidth="1"/>
    <col min="783" max="783" width="14.85546875" customWidth="1"/>
    <col min="784" max="784" width="13" customWidth="1"/>
    <col min="1025" max="1025" width="5.5703125" customWidth="1"/>
    <col min="1026" max="1026" width="33.85546875" customWidth="1"/>
    <col min="1027" max="1027" width="17.42578125" customWidth="1"/>
    <col min="1028" max="1029" width="19.5703125" customWidth="1"/>
    <col min="1030" max="1030" width="13.140625" customWidth="1"/>
    <col min="1031" max="1031" width="18.28515625" customWidth="1"/>
    <col min="1032" max="1032" width="15.28515625" customWidth="1"/>
    <col min="1033" max="1034" width="16.5703125" customWidth="1"/>
    <col min="1035" max="1035" width="0" hidden="1" customWidth="1"/>
    <col min="1036" max="1036" width="18.28515625" customWidth="1"/>
    <col min="1037" max="1037" width="19" customWidth="1"/>
    <col min="1038" max="1038" width="19.5703125" customWidth="1"/>
    <col min="1039" max="1039" width="14.85546875" customWidth="1"/>
    <col min="1040" max="1040" width="13" customWidth="1"/>
    <col min="1281" max="1281" width="5.5703125" customWidth="1"/>
    <col min="1282" max="1282" width="33.85546875" customWidth="1"/>
    <col min="1283" max="1283" width="17.42578125" customWidth="1"/>
    <col min="1284" max="1285" width="19.5703125" customWidth="1"/>
    <col min="1286" max="1286" width="13.140625" customWidth="1"/>
    <col min="1287" max="1287" width="18.28515625" customWidth="1"/>
    <col min="1288" max="1288" width="15.28515625" customWidth="1"/>
    <col min="1289" max="1290" width="16.5703125" customWidth="1"/>
    <col min="1291" max="1291" width="0" hidden="1" customWidth="1"/>
    <col min="1292" max="1292" width="18.28515625" customWidth="1"/>
    <col min="1293" max="1293" width="19" customWidth="1"/>
    <col min="1294" max="1294" width="19.5703125" customWidth="1"/>
    <col min="1295" max="1295" width="14.85546875" customWidth="1"/>
    <col min="1296" max="1296" width="13" customWidth="1"/>
    <col min="1537" max="1537" width="5.5703125" customWidth="1"/>
    <col min="1538" max="1538" width="33.85546875" customWidth="1"/>
    <col min="1539" max="1539" width="17.42578125" customWidth="1"/>
    <col min="1540" max="1541" width="19.5703125" customWidth="1"/>
    <col min="1542" max="1542" width="13.140625" customWidth="1"/>
    <col min="1543" max="1543" width="18.28515625" customWidth="1"/>
    <col min="1544" max="1544" width="15.28515625" customWidth="1"/>
    <col min="1545" max="1546" width="16.5703125" customWidth="1"/>
    <col min="1547" max="1547" width="0" hidden="1" customWidth="1"/>
    <col min="1548" max="1548" width="18.28515625" customWidth="1"/>
    <col min="1549" max="1549" width="19" customWidth="1"/>
    <col min="1550" max="1550" width="19.5703125" customWidth="1"/>
    <col min="1551" max="1551" width="14.85546875" customWidth="1"/>
    <col min="1552" max="1552" width="13" customWidth="1"/>
    <col min="1793" max="1793" width="5.5703125" customWidth="1"/>
    <col min="1794" max="1794" width="33.85546875" customWidth="1"/>
    <col min="1795" max="1795" width="17.42578125" customWidth="1"/>
    <col min="1796" max="1797" width="19.5703125" customWidth="1"/>
    <col min="1798" max="1798" width="13.140625" customWidth="1"/>
    <col min="1799" max="1799" width="18.28515625" customWidth="1"/>
    <col min="1800" max="1800" width="15.28515625" customWidth="1"/>
    <col min="1801" max="1802" width="16.5703125" customWidth="1"/>
    <col min="1803" max="1803" width="0" hidden="1" customWidth="1"/>
    <col min="1804" max="1804" width="18.28515625" customWidth="1"/>
    <col min="1805" max="1805" width="19" customWidth="1"/>
    <col min="1806" max="1806" width="19.5703125" customWidth="1"/>
    <col min="1807" max="1807" width="14.85546875" customWidth="1"/>
    <col min="1808" max="1808" width="13" customWidth="1"/>
    <col min="2049" max="2049" width="5.5703125" customWidth="1"/>
    <col min="2050" max="2050" width="33.85546875" customWidth="1"/>
    <col min="2051" max="2051" width="17.42578125" customWidth="1"/>
    <col min="2052" max="2053" width="19.5703125" customWidth="1"/>
    <col min="2054" max="2054" width="13.140625" customWidth="1"/>
    <col min="2055" max="2055" width="18.28515625" customWidth="1"/>
    <col min="2056" max="2056" width="15.28515625" customWidth="1"/>
    <col min="2057" max="2058" width="16.5703125" customWidth="1"/>
    <col min="2059" max="2059" width="0" hidden="1" customWidth="1"/>
    <col min="2060" max="2060" width="18.28515625" customWidth="1"/>
    <col min="2061" max="2061" width="19" customWidth="1"/>
    <col min="2062" max="2062" width="19.5703125" customWidth="1"/>
    <col min="2063" max="2063" width="14.85546875" customWidth="1"/>
    <col min="2064" max="2064" width="13" customWidth="1"/>
    <col min="2305" max="2305" width="5.5703125" customWidth="1"/>
    <col min="2306" max="2306" width="33.85546875" customWidth="1"/>
    <col min="2307" max="2307" width="17.42578125" customWidth="1"/>
    <col min="2308" max="2309" width="19.5703125" customWidth="1"/>
    <col min="2310" max="2310" width="13.140625" customWidth="1"/>
    <col min="2311" max="2311" width="18.28515625" customWidth="1"/>
    <col min="2312" max="2312" width="15.28515625" customWidth="1"/>
    <col min="2313" max="2314" width="16.5703125" customWidth="1"/>
    <col min="2315" max="2315" width="0" hidden="1" customWidth="1"/>
    <col min="2316" max="2316" width="18.28515625" customWidth="1"/>
    <col min="2317" max="2317" width="19" customWidth="1"/>
    <col min="2318" max="2318" width="19.5703125" customWidth="1"/>
    <col min="2319" max="2319" width="14.85546875" customWidth="1"/>
    <col min="2320" max="2320" width="13" customWidth="1"/>
    <col min="2561" max="2561" width="5.5703125" customWidth="1"/>
    <col min="2562" max="2562" width="33.85546875" customWidth="1"/>
    <col min="2563" max="2563" width="17.42578125" customWidth="1"/>
    <col min="2564" max="2565" width="19.5703125" customWidth="1"/>
    <col min="2566" max="2566" width="13.140625" customWidth="1"/>
    <col min="2567" max="2567" width="18.28515625" customWidth="1"/>
    <col min="2568" max="2568" width="15.28515625" customWidth="1"/>
    <col min="2569" max="2570" width="16.5703125" customWidth="1"/>
    <col min="2571" max="2571" width="0" hidden="1" customWidth="1"/>
    <col min="2572" max="2572" width="18.28515625" customWidth="1"/>
    <col min="2573" max="2573" width="19" customWidth="1"/>
    <col min="2574" max="2574" width="19.5703125" customWidth="1"/>
    <col min="2575" max="2575" width="14.85546875" customWidth="1"/>
    <col min="2576" max="2576" width="13" customWidth="1"/>
    <col min="2817" max="2817" width="5.5703125" customWidth="1"/>
    <col min="2818" max="2818" width="33.85546875" customWidth="1"/>
    <col min="2819" max="2819" width="17.42578125" customWidth="1"/>
    <col min="2820" max="2821" width="19.5703125" customWidth="1"/>
    <col min="2822" max="2822" width="13.140625" customWidth="1"/>
    <col min="2823" max="2823" width="18.28515625" customWidth="1"/>
    <col min="2824" max="2824" width="15.28515625" customWidth="1"/>
    <col min="2825" max="2826" width="16.5703125" customWidth="1"/>
    <col min="2827" max="2827" width="0" hidden="1" customWidth="1"/>
    <col min="2828" max="2828" width="18.28515625" customWidth="1"/>
    <col min="2829" max="2829" width="19" customWidth="1"/>
    <col min="2830" max="2830" width="19.5703125" customWidth="1"/>
    <col min="2831" max="2831" width="14.85546875" customWidth="1"/>
    <col min="2832" max="2832" width="13" customWidth="1"/>
    <col min="3073" max="3073" width="5.5703125" customWidth="1"/>
    <col min="3074" max="3074" width="33.85546875" customWidth="1"/>
    <col min="3075" max="3075" width="17.42578125" customWidth="1"/>
    <col min="3076" max="3077" width="19.5703125" customWidth="1"/>
    <col min="3078" max="3078" width="13.140625" customWidth="1"/>
    <col min="3079" max="3079" width="18.28515625" customWidth="1"/>
    <col min="3080" max="3080" width="15.28515625" customWidth="1"/>
    <col min="3081" max="3082" width="16.5703125" customWidth="1"/>
    <col min="3083" max="3083" width="0" hidden="1" customWidth="1"/>
    <col min="3084" max="3084" width="18.28515625" customWidth="1"/>
    <col min="3085" max="3085" width="19" customWidth="1"/>
    <col min="3086" max="3086" width="19.5703125" customWidth="1"/>
    <col min="3087" max="3087" width="14.85546875" customWidth="1"/>
    <col min="3088" max="3088" width="13" customWidth="1"/>
    <col min="3329" max="3329" width="5.5703125" customWidth="1"/>
    <col min="3330" max="3330" width="33.85546875" customWidth="1"/>
    <col min="3331" max="3331" width="17.42578125" customWidth="1"/>
    <col min="3332" max="3333" width="19.5703125" customWidth="1"/>
    <col min="3334" max="3334" width="13.140625" customWidth="1"/>
    <col min="3335" max="3335" width="18.28515625" customWidth="1"/>
    <col min="3336" max="3336" width="15.28515625" customWidth="1"/>
    <col min="3337" max="3338" width="16.5703125" customWidth="1"/>
    <col min="3339" max="3339" width="0" hidden="1" customWidth="1"/>
    <col min="3340" max="3340" width="18.28515625" customWidth="1"/>
    <col min="3341" max="3341" width="19" customWidth="1"/>
    <col min="3342" max="3342" width="19.5703125" customWidth="1"/>
    <col min="3343" max="3343" width="14.85546875" customWidth="1"/>
    <col min="3344" max="3344" width="13" customWidth="1"/>
    <col min="3585" max="3585" width="5.5703125" customWidth="1"/>
    <col min="3586" max="3586" width="33.85546875" customWidth="1"/>
    <col min="3587" max="3587" width="17.42578125" customWidth="1"/>
    <col min="3588" max="3589" width="19.5703125" customWidth="1"/>
    <col min="3590" max="3590" width="13.140625" customWidth="1"/>
    <col min="3591" max="3591" width="18.28515625" customWidth="1"/>
    <col min="3592" max="3592" width="15.28515625" customWidth="1"/>
    <col min="3593" max="3594" width="16.5703125" customWidth="1"/>
    <col min="3595" max="3595" width="0" hidden="1" customWidth="1"/>
    <col min="3596" max="3596" width="18.28515625" customWidth="1"/>
    <col min="3597" max="3597" width="19" customWidth="1"/>
    <col min="3598" max="3598" width="19.5703125" customWidth="1"/>
    <col min="3599" max="3599" width="14.85546875" customWidth="1"/>
    <col min="3600" max="3600" width="13" customWidth="1"/>
    <col min="3841" max="3841" width="5.5703125" customWidth="1"/>
    <col min="3842" max="3842" width="33.85546875" customWidth="1"/>
    <col min="3843" max="3843" width="17.42578125" customWidth="1"/>
    <col min="3844" max="3845" width="19.5703125" customWidth="1"/>
    <col min="3846" max="3846" width="13.140625" customWidth="1"/>
    <col min="3847" max="3847" width="18.28515625" customWidth="1"/>
    <col min="3848" max="3848" width="15.28515625" customWidth="1"/>
    <col min="3849" max="3850" width="16.5703125" customWidth="1"/>
    <col min="3851" max="3851" width="0" hidden="1" customWidth="1"/>
    <col min="3852" max="3852" width="18.28515625" customWidth="1"/>
    <col min="3853" max="3853" width="19" customWidth="1"/>
    <col min="3854" max="3854" width="19.5703125" customWidth="1"/>
    <col min="3855" max="3855" width="14.85546875" customWidth="1"/>
    <col min="3856" max="3856" width="13" customWidth="1"/>
    <col min="4097" max="4097" width="5.5703125" customWidth="1"/>
    <col min="4098" max="4098" width="33.85546875" customWidth="1"/>
    <col min="4099" max="4099" width="17.42578125" customWidth="1"/>
    <col min="4100" max="4101" width="19.5703125" customWidth="1"/>
    <col min="4102" max="4102" width="13.140625" customWidth="1"/>
    <col min="4103" max="4103" width="18.28515625" customWidth="1"/>
    <col min="4104" max="4104" width="15.28515625" customWidth="1"/>
    <col min="4105" max="4106" width="16.5703125" customWidth="1"/>
    <col min="4107" max="4107" width="0" hidden="1" customWidth="1"/>
    <col min="4108" max="4108" width="18.28515625" customWidth="1"/>
    <col min="4109" max="4109" width="19" customWidth="1"/>
    <col min="4110" max="4110" width="19.5703125" customWidth="1"/>
    <col min="4111" max="4111" width="14.85546875" customWidth="1"/>
    <col min="4112" max="4112" width="13" customWidth="1"/>
    <col min="4353" max="4353" width="5.5703125" customWidth="1"/>
    <col min="4354" max="4354" width="33.85546875" customWidth="1"/>
    <col min="4355" max="4355" width="17.42578125" customWidth="1"/>
    <col min="4356" max="4357" width="19.5703125" customWidth="1"/>
    <col min="4358" max="4358" width="13.140625" customWidth="1"/>
    <col min="4359" max="4359" width="18.28515625" customWidth="1"/>
    <col min="4360" max="4360" width="15.28515625" customWidth="1"/>
    <col min="4361" max="4362" width="16.5703125" customWidth="1"/>
    <col min="4363" max="4363" width="0" hidden="1" customWidth="1"/>
    <col min="4364" max="4364" width="18.28515625" customWidth="1"/>
    <col min="4365" max="4365" width="19" customWidth="1"/>
    <col min="4366" max="4366" width="19.5703125" customWidth="1"/>
    <col min="4367" max="4367" width="14.85546875" customWidth="1"/>
    <col min="4368" max="4368" width="13" customWidth="1"/>
    <col min="4609" max="4609" width="5.5703125" customWidth="1"/>
    <col min="4610" max="4610" width="33.85546875" customWidth="1"/>
    <col min="4611" max="4611" width="17.42578125" customWidth="1"/>
    <col min="4612" max="4613" width="19.5703125" customWidth="1"/>
    <col min="4614" max="4614" width="13.140625" customWidth="1"/>
    <col min="4615" max="4615" width="18.28515625" customWidth="1"/>
    <col min="4616" max="4616" width="15.28515625" customWidth="1"/>
    <col min="4617" max="4618" width="16.5703125" customWidth="1"/>
    <col min="4619" max="4619" width="0" hidden="1" customWidth="1"/>
    <col min="4620" max="4620" width="18.28515625" customWidth="1"/>
    <col min="4621" max="4621" width="19" customWidth="1"/>
    <col min="4622" max="4622" width="19.5703125" customWidth="1"/>
    <col min="4623" max="4623" width="14.85546875" customWidth="1"/>
    <col min="4624" max="4624" width="13" customWidth="1"/>
    <col min="4865" max="4865" width="5.5703125" customWidth="1"/>
    <col min="4866" max="4866" width="33.85546875" customWidth="1"/>
    <col min="4867" max="4867" width="17.42578125" customWidth="1"/>
    <col min="4868" max="4869" width="19.5703125" customWidth="1"/>
    <col min="4870" max="4870" width="13.140625" customWidth="1"/>
    <col min="4871" max="4871" width="18.28515625" customWidth="1"/>
    <col min="4872" max="4872" width="15.28515625" customWidth="1"/>
    <col min="4873" max="4874" width="16.5703125" customWidth="1"/>
    <col min="4875" max="4875" width="0" hidden="1" customWidth="1"/>
    <col min="4876" max="4876" width="18.28515625" customWidth="1"/>
    <col min="4877" max="4877" width="19" customWidth="1"/>
    <col min="4878" max="4878" width="19.5703125" customWidth="1"/>
    <col min="4879" max="4879" width="14.85546875" customWidth="1"/>
    <col min="4880" max="4880" width="13" customWidth="1"/>
    <col min="5121" max="5121" width="5.5703125" customWidth="1"/>
    <col min="5122" max="5122" width="33.85546875" customWidth="1"/>
    <col min="5123" max="5123" width="17.42578125" customWidth="1"/>
    <col min="5124" max="5125" width="19.5703125" customWidth="1"/>
    <col min="5126" max="5126" width="13.140625" customWidth="1"/>
    <col min="5127" max="5127" width="18.28515625" customWidth="1"/>
    <col min="5128" max="5128" width="15.28515625" customWidth="1"/>
    <col min="5129" max="5130" width="16.5703125" customWidth="1"/>
    <col min="5131" max="5131" width="0" hidden="1" customWidth="1"/>
    <col min="5132" max="5132" width="18.28515625" customWidth="1"/>
    <col min="5133" max="5133" width="19" customWidth="1"/>
    <col min="5134" max="5134" width="19.5703125" customWidth="1"/>
    <col min="5135" max="5135" width="14.85546875" customWidth="1"/>
    <col min="5136" max="5136" width="13" customWidth="1"/>
    <col min="5377" max="5377" width="5.5703125" customWidth="1"/>
    <col min="5378" max="5378" width="33.85546875" customWidth="1"/>
    <col min="5379" max="5379" width="17.42578125" customWidth="1"/>
    <col min="5380" max="5381" width="19.5703125" customWidth="1"/>
    <col min="5382" max="5382" width="13.140625" customWidth="1"/>
    <col min="5383" max="5383" width="18.28515625" customWidth="1"/>
    <col min="5384" max="5384" width="15.28515625" customWidth="1"/>
    <col min="5385" max="5386" width="16.5703125" customWidth="1"/>
    <col min="5387" max="5387" width="0" hidden="1" customWidth="1"/>
    <col min="5388" max="5388" width="18.28515625" customWidth="1"/>
    <col min="5389" max="5389" width="19" customWidth="1"/>
    <col min="5390" max="5390" width="19.5703125" customWidth="1"/>
    <col min="5391" max="5391" width="14.85546875" customWidth="1"/>
    <col min="5392" max="5392" width="13" customWidth="1"/>
    <col min="5633" max="5633" width="5.5703125" customWidth="1"/>
    <col min="5634" max="5634" width="33.85546875" customWidth="1"/>
    <col min="5635" max="5635" width="17.42578125" customWidth="1"/>
    <col min="5636" max="5637" width="19.5703125" customWidth="1"/>
    <col min="5638" max="5638" width="13.140625" customWidth="1"/>
    <col min="5639" max="5639" width="18.28515625" customWidth="1"/>
    <col min="5640" max="5640" width="15.28515625" customWidth="1"/>
    <col min="5641" max="5642" width="16.5703125" customWidth="1"/>
    <col min="5643" max="5643" width="0" hidden="1" customWidth="1"/>
    <col min="5644" max="5644" width="18.28515625" customWidth="1"/>
    <col min="5645" max="5645" width="19" customWidth="1"/>
    <col min="5646" max="5646" width="19.5703125" customWidth="1"/>
    <col min="5647" max="5647" width="14.85546875" customWidth="1"/>
    <col min="5648" max="5648" width="13" customWidth="1"/>
    <col min="5889" max="5889" width="5.5703125" customWidth="1"/>
    <col min="5890" max="5890" width="33.85546875" customWidth="1"/>
    <col min="5891" max="5891" width="17.42578125" customWidth="1"/>
    <col min="5892" max="5893" width="19.5703125" customWidth="1"/>
    <col min="5894" max="5894" width="13.140625" customWidth="1"/>
    <col min="5895" max="5895" width="18.28515625" customWidth="1"/>
    <col min="5896" max="5896" width="15.28515625" customWidth="1"/>
    <col min="5897" max="5898" width="16.5703125" customWidth="1"/>
    <col min="5899" max="5899" width="0" hidden="1" customWidth="1"/>
    <col min="5900" max="5900" width="18.28515625" customWidth="1"/>
    <col min="5901" max="5901" width="19" customWidth="1"/>
    <col min="5902" max="5902" width="19.5703125" customWidth="1"/>
    <col min="5903" max="5903" width="14.85546875" customWidth="1"/>
    <col min="5904" max="5904" width="13" customWidth="1"/>
    <col min="6145" max="6145" width="5.5703125" customWidth="1"/>
    <col min="6146" max="6146" width="33.85546875" customWidth="1"/>
    <col min="6147" max="6147" width="17.42578125" customWidth="1"/>
    <col min="6148" max="6149" width="19.5703125" customWidth="1"/>
    <col min="6150" max="6150" width="13.140625" customWidth="1"/>
    <col min="6151" max="6151" width="18.28515625" customWidth="1"/>
    <col min="6152" max="6152" width="15.28515625" customWidth="1"/>
    <col min="6153" max="6154" width="16.5703125" customWidth="1"/>
    <col min="6155" max="6155" width="0" hidden="1" customWidth="1"/>
    <col min="6156" max="6156" width="18.28515625" customWidth="1"/>
    <col min="6157" max="6157" width="19" customWidth="1"/>
    <col min="6158" max="6158" width="19.5703125" customWidth="1"/>
    <col min="6159" max="6159" width="14.85546875" customWidth="1"/>
    <col min="6160" max="6160" width="13" customWidth="1"/>
    <col min="6401" max="6401" width="5.5703125" customWidth="1"/>
    <col min="6402" max="6402" width="33.85546875" customWidth="1"/>
    <col min="6403" max="6403" width="17.42578125" customWidth="1"/>
    <col min="6404" max="6405" width="19.5703125" customWidth="1"/>
    <col min="6406" max="6406" width="13.140625" customWidth="1"/>
    <col min="6407" max="6407" width="18.28515625" customWidth="1"/>
    <col min="6408" max="6408" width="15.28515625" customWidth="1"/>
    <col min="6409" max="6410" width="16.5703125" customWidth="1"/>
    <col min="6411" max="6411" width="0" hidden="1" customWidth="1"/>
    <col min="6412" max="6412" width="18.28515625" customWidth="1"/>
    <col min="6413" max="6413" width="19" customWidth="1"/>
    <col min="6414" max="6414" width="19.5703125" customWidth="1"/>
    <col min="6415" max="6415" width="14.85546875" customWidth="1"/>
    <col min="6416" max="6416" width="13" customWidth="1"/>
    <col min="6657" max="6657" width="5.5703125" customWidth="1"/>
    <col min="6658" max="6658" width="33.85546875" customWidth="1"/>
    <col min="6659" max="6659" width="17.42578125" customWidth="1"/>
    <col min="6660" max="6661" width="19.5703125" customWidth="1"/>
    <col min="6662" max="6662" width="13.140625" customWidth="1"/>
    <col min="6663" max="6663" width="18.28515625" customWidth="1"/>
    <col min="6664" max="6664" width="15.28515625" customWidth="1"/>
    <col min="6665" max="6666" width="16.5703125" customWidth="1"/>
    <col min="6667" max="6667" width="0" hidden="1" customWidth="1"/>
    <col min="6668" max="6668" width="18.28515625" customWidth="1"/>
    <col min="6669" max="6669" width="19" customWidth="1"/>
    <col min="6670" max="6670" width="19.5703125" customWidth="1"/>
    <col min="6671" max="6671" width="14.85546875" customWidth="1"/>
    <col min="6672" max="6672" width="13" customWidth="1"/>
    <col min="6913" max="6913" width="5.5703125" customWidth="1"/>
    <col min="6914" max="6914" width="33.85546875" customWidth="1"/>
    <col min="6915" max="6915" width="17.42578125" customWidth="1"/>
    <col min="6916" max="6917" width="19.5703125" customWidth="1"/>
    <col min="6918" max="6918" width="13.140625" customWidth="1"/>
    <col min="6919" max="6919" width="18.28515625" customWidth="1"/>
    <col min="6920" max="6920" width="15.28515625" customWidth="1"/>
    <col min="6921" max="6922" width="16.5703125" customWidth="1"/>
    <col min="6923" max="6923" width="0" hidden="1" customWidth="1"/>
    <col min="6924" max="6924" width="18.28515625" customWidth="1"/>
    <col min="6925" max="6925" width="19" customWidth="1"/>
    <col min="6926" max="6926" width="19.5703125" customWidth="1"/>
    <col min="6927" max="6927" width="14.85546875" customWidth="1"/>
    <col min="6928" max="6928" width="13" customWidth="1"/>
    <col min="7169" max="7169" width="5.5703125" customWidth="1"/>
    <col min="7170" max="7170" width="33.85546875" customWidth="1"/>
    <col min="7171" max="7171" width="17.42578125" customWidth="1"/>
    <col min="7172" max="7173" width="19.5703125" customWidth="1"/>
    <col min="7174" max="7174" width="13.140625" customWidth="1"/>
    <col min="7175" max="7175" width="18.28515625" customWidth="1"/>
    <col min="7176" max="7176" width="15.28515625" customWidth="1"/>
    <col min="7177" max="7178" width="16.5703125" customWidth="1"/>
    <col min="7179" max="7179" width="0" hidden="1" customWidth="1"/>
    <col min="7180" max="7180" width="18.28515625" customWidth="1"/>
    <col min="7181" max="7181" width="19" customWidth="1"/>
    <col min="7182" max="7182" width="19.5703125" customWidth="1"/>
    <col min="7183" max="7183" width="14.85546875" customWidth="1"/>
    <col min="7184" max="7184" width="13" customWidth="1"/>
    <col min="7425" max="7425" width="5.5703125" customWidth="1"/>
    <col min="7426" max="7426" width="33.85546875" customWidth="1"/>
    <col min="7427" max="7427" width="17.42578125" customWidth="1"/>
    <col min="7428" max="7429" width="19.5703125" customWidth="1"/>
    <col min="7430" max="7430" width="13.140625" customWidth="1"/>
    <col min="7431" max="7431" width="18.28515625" customWidth="1"/>
    <col min="7432" max="7432" width="15.28515625" customWidth="1"/>
    <col min="7433" max="7434" width="16.5703125" customWidth="1"/>
    <col min="7435" max="7435" width="0" hidden="1" customWidth="1"/>
    <col min="7436" max="7436" width="18.28515625" customWidth="1"/>
    <col min="7437" max="7437" width="19" customWidth="1"/>
    <col min="7438" max="7438" width="19.5703125" customWidth="1"/>
    <col min="7439" max="7439" width="14.85546875" customWidth="1"/>
    <col min="7440" max="7440" width="13" customWidth="1"/>
    <col min="7681" max="7681" width="5.5703125" customWidth="1"/>
    <col min="7682" max="7682" width="33.85546875" customWidth="1"/>
    <col min="7683" max="7683" width="17.42578125" customWidth="1"/>
    <col min="7684" max="7685" width="19.5703125" customWidth="1"/>
    <col min="7686" max="7686" width="13.140625" customWidth="1"/>
    <col min="7687" max="7687" width="18.28515625" customWidth="1"/>
    <col min="7688" max="7688" width="15.28515625" customWidth="1"/>
    <col min="7689" max="7690" width="16.5703125" customWidth="1"/>
    <col min="7691" max="7691" width="0" hidden="1" customWidth="1"/>
    <col min="7692" max="7692" width="18.28515625" customWidth="1"/>
    <col min="7693" max="7693" width="19" customWidth="1"/>
    <col min="7694" max="7694" width="19.5703125" customWidth="1"/>
    <col min="7695" max="7695" width="14.85546875" customWidth="1"/>
    <col min="7696" max="7696" width="13" customWidth="1"/>
    <col min="7937" max="7937" width="5.5703125" customWidth="1"/>
    <col min="7938" max="7938" width="33.85546875" customWidth="1"/>
    <col min="7939" max="7939" width="17.42578125" customWidth="1"/>
    <col min="7940" max="7941" width="19.5703125" customWidth="1"/>
    <col min="7942" max="7942" width="13.140625" customWidth="1"/>
    <col min="7943" max="7943" width="18.28515625" customWidth="1"/>
    <col min="7944" max="7944" width="15.28515625" customWidth="1"/>
    <col min="7945" max="7946" width="16.5703125" customWidth="1"/>
    <col min="7947" max="7947" width="0" hidden="1" customWidth="1"/>
    <col min="7948" max="7948" width="18.28515625" customWidth="1"/>
    <col min="7949" max="7949" width="19" customWidth="1"/>
    <col min="7950" max="7950" width="19.5703125" customWidth="1"/>
    <col min="7951" max="7951" width="14.85546875" customWidth="1"/>
    <col min="7952" max="7952" width="13" customWidth="1"/>
    <col min="8193" max="8193" width="5.5703125" customWidth="1"/>
    <col min="8194" max="8194" width="33.85546875" customWidth="1"/>
    <col min="8195" max="8195" width="17.42578125" customWidth="1"/>
    <col min="8196" max="8197" width="19.5703125" customWidth="1"/>
    <col min="8198" max="8198" width="13.140625" customWidth="1"/>
    <col min="8199" max="8199" width="18.28515625" customWidth="1"/>
    <col min="8200" max="8200" width="15.28515625" customWidth="1"/>
    <col min="8201" max="8202" width="16.5703125" customWidth="1"/>
    <col min="8203" max="8203" width="0" hidden="1" customWidth="1"/>
    <col min="8204" max="8204" width="18.28515625" customWidth="1"/>
    <col min="8205" max="8205" width="19" customWidth="1"/>
    <col min="8206" max="8206" width="19.5703125" customWidth="1"/>
    <col min="8207" max="8207" width="14.85546875" customWidth="1"/>
    <col min="8208" max="8208" width="13" customWidth="1"/>
    <col min="8449" max="8449" width="5.5703125" customWidth="1"/>
    <col min="8450" max="8450" width="33.85546875" customWidth="1"/>
    <col min="8451" max="8451" width="17.42578125" customWidth="1"/>
    <col min="8452" max="8453" width="19.5703125" customWidth="1"/>
    <col min="8454" max="8454" width="13.140625" customWidth="1"/>
    <col min="8455" max="8455" width="18.28515625" customWidth="1"/>
    <col min="8456" max="8456" width="15.28515625" customWidth="1"/>
    <col min="8457" max="8458" width="16.5703125" customWidth="1"/>
    <col min="8459" max="8459" width="0" hidden="1" customWidth="1"/>
    <col min="8460" max="8460" width="18.28515625" customWidth="1"/>
    <col min="8461" max="8461" width="19" customWidth="1"/>
    <col min="8462" max="8462" width="19.5703125" customWidth="1"/>
    <col min="8463" max="8463" width="14.85546875" customWidth="1"/>
    <col min="8464" max="8464" width="13" customWidth="1"/>
    <col min="8705" max="8705" width="5.5703125" customWidth="1"/>
    <col min="8706" max="8706" width="33.85546875" customWidth="1"/>
    <col min="8707" max="8707" width="17.42578125" customWidth="1"/>
    <col min="8708" max="8709" width="19.5703125" customWidth="1"/>
    <col min="8710" max="8710" width="13.140625" customWidth="1"/>
    <col min="8711" max="8711" width="18.28515625" customWidth="1"/>
    <col min="8712" max="8712" width="15.28515625" customWidth="1"/>
    <col min="8713" max="8714" width="16.5703125" customWidth="1"/>
    <col min="8715" max="8715" width="0" hidden="1" customWidth="1"/>
    <col min="8716" max="8716" width="18.28515625" customWidth="1"/>
    <col min="8717" max="8717" width="19" customWidth="1"/>
    <col min="8718" max="8718" width="19.5703125" customWidth="1"/>
    <col min="8719" max="8719" width="14.85546875" customWidth="1"/>
    <col min="8720" max="8720" width="13" customWidth="1"/>
    <col min="8961" max="8961" width="5.5703125" customWidth="1"/>
    <col min="8962" max="8962" width="33.85546875" customWidth="1"/>
    <col min="8963" max="8963" width="17.42578125" customWidth="1"/>
    <col min="8964" max="8965" width="19.5703125" customWidth="1"/>
    <col min="8966" max="8966" width="13.140625" customWidth="1"/>
    <col min="8967" max="8967" width="18.28515625" customWidth="1"/>
    <col min="8968" max="8968" width="15.28515625" customWidth="1"/>
    <col min="8969" max="8970" width="16.5703125" customWidth="1"/>
    <col min="8971" max="8971" width="0" hidden="1" customWidth="1"/>
    <col min="8972" max="8972" width="18.28515625" customWidth="1"/>
    <col min="8973" max="8973" width="19" customWidth="1"/>
    <col min="8974" max="8974" width="19.5703125" customWidth="1"/>
    <col min="8975" max="8975" width="14.85546875" customWidth="1"/>
    <col min="8976" max="8976" width="13" customWidth="1"/>
    <col min="9217" max="9217" width="5.5703125" customWidth="1"/>
    <col min="9218" max="9218" width="33.85546875" customWidth="1"/>
    <col min="9219" max="9219" width="17.42578125" customWidth="1"/>
    <col min="9220" max="9221" width="19.5703125" customWidth="1"/>
    <col min="9222" max="9222" width="13.140625" customWidth="1"/>
    <col min="9223" max="9223" width="18.28515625" customWidth="1"/>
    <col min="9224" max="9224" width="15.28515625" customWidth="1"/>
    <col min="9225" max="9226" width="16.5703125" customWidth="1"/>
    <col min="9227" max="9227" width="0" hidden="1" customWidth="1"/>
    <col min="9228" max="9228" width="18.28515625" customWidth="1"/>
    <col min="9229" max="9229" width="19" customWidth="1"/>
    <col min="9230" max="9230" width="19.5703125" customWidth="1"/>
    <col min="9231" max="9231" width="14.85546875" customWidth="1"/>
    <col min="9232" max="9232" width="13" customWidth="1"/>
    <col min="9473" max="9473" width="5.5703125" customWidth="1"/>
    <col min="9474" max="9474" width="33.85546875" customWidth="1"/>
    <col min="9475" max="9475" width="17.42578125" customWidth="1"/>
    <col min="9476" max="9477" width="19.5703125" customWidth="1"/>
    <col min="9478" max="9478" width="13.140625" customWidth="1"/>
    <col min="9479" max="9479" width="18.28515625" customWidth="1"/>
    <col min="9480" max="9480" width="15.28515625" customWidth="1"/>
    <col min="9481" max="9482" width="16.5703125" customWidth="1"/>
    <col min="9483" max="9483" width="0" hidden="1" customWidth="1"/>
    <col min="9484" max="9484" width="18.28515625" customWidth="1"/>
    <col min="9485" max="9485" width="19" customWidth="1"/>
    <col min="9486" max="9486" width="19.5703125" customWidth="1"/>
    <col min="9487" max="9487" width="14.85546875" customWidth="1"/>
    <col min="9488" max="9488" width="13" customWidth="1"/>
    <col min="9729" max="9729" width="5.5703125" customWidth="1"/>
    <col min="9730" max="9730" width="33.85546875" customWidth="1"/>
    <col min="9731" max="9731" width="17.42578125" customWidth="1"/>
    <col min="9732" max="9733" width="19.5703125" customWidth="1"/>
    <col min="9734" max="9734" width="13.140625" customWidth="1"/>
    <col min="9735" max="9735" width="18.28515625" customWidth="1"/>
    <col min="9736" max="9736" width="15.28515625" customWidth="1"/>
    <col min="9737" max="9738" width="16.5703125" customWidth="1"/>
    <col min="9739" max="9739" width="0" hidden="1" customWidth="1"/>
    <col min="9740" max="9740" width="18.28515625" customWidth="1"/>
    <col min="9741" max="9741" width="19" customWidth="1"/>
    <col min="9742" max="9742" width="19.5703125" customWidth="1"/>
    <col min="9743" max="9743" width="14.85546875" customWidth="1"/>
    <col min="9744" max="9744" width="13" customWidth="1"/>
    <col min="9985" max="9985" width="5.5703125" customWidth="1"/>
    <col min="9986" max="9986" width="33.85546875" customWidth="1"/>
    <col min="9987" max="9987" width="17.42578125" customWidth="1"/>
    <col min="9988" max="9989" width="19.5703125" customWidth="1"/>
    <col min="9990" max="9990" width="13.140625" customWidth="1"/>
    <col min="9991" max="9991" width="18.28515625" customWidth="1"/>
    <col min="9992" max="9992" width="15.28515625" customWidth="1"/>
    <col min="9993" max="9994" width="16.5703125" customWidth="1"/>
    <col min="9995" max="9995" width="0" hidden="1" customWidth="1"/>
    <col min="9996" max="9996" width="18.28515625" customWidth="1"/>
    <col min="9997" max="9997" width="19" customWidth="1"/>
    <col min="9998" max="9998" width="19.5703125" customWidth="1"/>
    <col min="9999" max="9999" width="14.85546875" customWidth="1"/>
    <col min="10000" max="10000" width="13" customWidth="1"/>
    <col min="10241" max="10241" width="5.5703125" customWidth="1"/>
    <col min="10242" max="10242" width="33.85546875" customWidth="1"/>
    <col min="10243" max="10243" width="17.42578125" customWidth="1"/>
    <col min="10244" max="10245" width="19.5703125" customWidth="1"/>
    <col min="10246" max="10246" width="13.140625" customWidth="1"/>
    <col min="10247" max="10247" width="18.28515625" customWidth="1"/>
    <col min="10248" max="10248" width="15.28515625" customWidth="1"/>
    <col min="10249" max="10250" width="16.5703125" customWidth="1"/>
    <col min="10251" max="10251" width="0" hidden="1" customWidth="1"/>
    <col min="10252" max="10252" width="18.28515625" customWidth="1"/>
    <col min="10253" max="10253" width="19" customWidth="1"/>
    <col min="10254" max="10254" width="19.5703125" customWidth="1"/>
    <col min="10255" max="10255" width="14.85546875" customWidth="1"/>
    <col min="10256" max="10256" width="13" customWidth="1"/>
    <col min="10497" max="10497" width="5.5703125" customWidth="1"/>
    <col min="10498" max="10498" width="33.85546875" customWidth="1"/>
    <col min="10499" max="10499" width="17.42578125" customWidth="1"/>
    <col min="10500" max="10501" width="19.5703125" customWidth="1"/>
    <col min="10502" max="10502" width="13.140625" customWidth="1"/>
    <col min="10503" max="10503" width="18.28515625" customWidth="1"/>
    <col min="10504" max="10504" width="15.28515625" customWidth="1"/>
    <col min="10505" max="10506" width="16.5703125" customWidth="1"/>
    <col min="10507" max="10507" width="0" hidden="1" customWidth="1"/>
    <col min="10508" max="10508" width="18.28515625" customWidth="1"/>
    <col min="10509" max="10509" width="19" customWidth="1"/>
    <col min="10510" max="10510" width="19.5703125" customWidth="1"/>
    <col min="10511" max="10511" width="14.85546875" customWidth="1"/>
    <col min="10512" max="10512" width="13" customWidth="1"/>
    <col min="10753" max="10753" width="5.5703125" customWidth="1"/>
    <col min="10754" max="10754" width="33.85546875" customWidth="1"/>
    <col min="10755" max="10755" width="17.42578125" customWidth="1"/>
    <col min="10756" max="10757" width="19.5703125" customWidth="1"/>
    <col min="10758" max="10758" width="13.140625" customWidth="1"/>
    <col min="10759" max="10759" width="18.28515625" customWidth="1"/>
    <col min="10760" max="10760" width="15.28515625" customWidth="1"/>
    <col min="10761" max="10762" width="16.5703125" customWidth="1"/>
    <col min="10763" max="10763" width="0" hidden="1" customWidth="1"/>
    <col min="10764" max="10764" width="18.28515625" customWidth="1"/>
    <col min="10765" max="10765" width="19" customWidth="1"/>
    <col min="10766" max="10766" width="19.5703125" customWidth="1"/>
    <col min="10767" max="10767" width="14.85546875" customWidth="1"/>
    <col min="10768" max="10768" width="13" customWidth="1"/>
    <col min="11009" max="11009" width="5.5703125" customWidth="1"/>
    <col min="11010" max="11010" width="33.85546875" customWidth="1"/>
    <col min="11011" max="11011" width="17.42578125" customWidth="1"/>
    <col min="11012" max="11013" width="19.5703125" customWidth="1"/>
    <col min="11014" max="11014" width="13.140625" customWidth="1"/>
    <col min="11015" max="11015" width="18.28515625" customWidth="1"/>
    <col min="11016" max="11016" width="15.28515625" customWidth="1"/>
    <col min="11017" max="11018" width="16.5703125" customWidth="1"/>
    <col min="11019" max="11019" width="0" hidden="1" customWidth="1"/>
    <col min="11020" max="11020" width="18.28515625" customWidth="1"/>
    <col min="11021" max="11021" width="19" customWidth="1"/>
    <col min="11022" max="11022" width="19.5703125" customWidth="1"/>
    <col min="11023" max="11023" width="14.85546875" customWidth="1"/>
    <col min="11024" max="11024" width="13" customWidth="1"/>
    <col min="11265" max="11265" width="5.5703125" customWidth="1"/>
    <col min="11266" max="11266" width="33.85546875" customWidth="1"/>
    <col min="11267" max="11267" width="17.42578125" customWidth="1"/>
    <col min="11268" max="11269" width="19.5703125" customWidth="1"/>
    <col min="11270" max="11270" width="13.140625" customWidth="1"/>
    <col min="11271" max="11271" width="18.28515625" customWidth="1"/>
    <col min="11272" max="11272" width="15.28515625" customWidth="1"/>
    <col min="11273" max="11274" width="16.5703125" customWidth="1"/>
    <col min="11275" max="11275" width="0" hidden="1" customWidth="1"/>
    <col min="11276" max="11276" width="18.28515625" customWidth="1"/>
    <col min="11277" max="11277" width="19" customWidth="1"/>
    <col min="11278" max="11278" width="19.5703125" customWidth="1"/>
    <col min="11279" max="11279" width="14.85546875" customWidth="1"/>
    <col min="11280" max="11280" width="13" customWidth="1"/>
    <col min="11521" max="11521" width="5.5703125" customWidth="1"/>
    <col min="11522" max="11522" width="33.85546875" customWidth="1"/>
    <col min="11523" max="11523" width="17.42578125" customWidth="1"/>
    <col min="11524" max="11525" width="19.5703125" customWidth="1"/>
    <col min="11526" max="11526" width="13.140625" customWidth="1"/>
    <col min="11527" max="11527" width="18.28515625" customWidth="1"/>
    <col min="11528" max="11528" width="15.28515625" customWidth="1"/>
    <col min="11529" max="11530" width="16.5703125" customWidth="1"/>
    <col min="11531" max="11531" width="0" hidden="1" customWidth="1"/>
    <col min="11532" max="11532" width="18.28515625" customWidth="1"/>
    <col min="11533" max="11533" width="19" customWidth="1"/>
    <col min="11534" max="11534" width="19.5703125" customWidth="1"/>
    <col min="11535" max="11535" width="14.85546875" customWidth="1"/>
    <col min="11536" max="11536" width="13" customWidth="1"/>
    <col min="11777" max="11777" width="5.5703125" customWidth="1"/>
    <col min="11778" max="11778" width="33.85546875" customWidth="1"/>
    <col min="11779" max="11779" width="17.42578125" customWidth="1"/>
    <col min="11780" max="11781" width="19.5703125" customWidth="1"/>
    <col min="11782" max="11782" width="13.140625" customWidth="1"/>
    <col min="11783" max="11783" width="18.28515625" customWidth="1"/>
    <col min="11784" max="11784" width="15.28515625" customWidth="1"/>
    <col min="11785" max="11786" width="16.5703125" customWidth="1"/>
    <col min="11787" max="11787" width="0" hidden="1" customWidth="1"/>
    <col min="11788" max="11788" width="18.28515625" customWidth="1"/>
    <col min="11789" max="11789" width="19" customWidth="1"/>
    <col min="11790" max="11790" width="19.5703125" customWidth="1"/>
    <col min="11791" max="11791" width="14.85546875" customWidth="1"/>
    <col min="11792" max="11792" width="13" customWidth="1"/>
    <col min="12033" max="12033" width="5.5703125" customWidth="1"/>
    <col min="12034" max="12034" width="33.85546875" customWidth="1"/>
    <col min="12035" max="12035" width="17.42578125" customWidth="1"/>
    <col min="12036" max="12037" width="19.5703125" customWidth="1"/>
    <col min="12038" max="12038" width="13.140625" customWidth="1"/>
    <col min="12039" max="12039" width="18.28515625" customWidth="1"/>
    <col min="12040" max="12040" width="15.28515625" customWidth="1"/>
    <col min="12041" max="12042" width="16.5703125" customWidth="1"/>
    <col min="12043" max="12043" width="0" hidden="1" customWidth="1"/>
    <col min="12044" max="12044" width="18.28515625" customWidth="1"/>
    <col min="12045" max="12045" width="19" customWidth="1"/>
    <col min="12046" max="12046" width="19.5703125" customWidth="1"/>
    <col min="12047" max="12047" width="14.85546875" customWidth="1"/>
    <col min="12048" max="12048" width="13" customWidth="1"/>
    <col min="12289" max="12289" width="5.5703125" customWidth="1"/>
    <col min="12290" max="12290" width="33.85546875" customWidth="1"/>
    <col min="12291" max="12291" width="17.42578125" customWidth="1"/>
    <col min="12292" max="12293" width="19.5703125" customWidth="1"/>
    <col min="12294" max="12294" width="13.140625" customWidth="1"/>
    <col min="12295" max="12295" width="18.28515625" customWidth="1"/>
    <col min="12296" max="12296" width="15.28515625" customWidth="1"/>
    <col min="12297" max="12298" width="16.5703125" customWidth="1"/>
    <col min="12299" max="12299" width="0" hidden="1" customWidth="1"/>
    <col min="12300" max="12300" width="18.28515625" customWidth="1"/>
    <col min="12301" max="12301" width="19" customWidth="1"/>
    <col min="12302" max="12302" width="19.5703125" customWidth="1"/>
    <col min="12303" max="12303" width="14.85546875" customWidth="1"/>
    <col min="12304" max="12304" width="13" customWidth="1"/>
    <col min="12545" max="12545" width="5.5703125" customWidth="1"/>
    <col min="12546" max="12546" width="33.85546875" customWidth="1"/>
    <col min="12547" max="12547" width="17.42578125" customWidth="1"/>
    <col min="12548" max="12549" width="19.5703125" customWidth="1"/>
    <col min="12550" max="12550" width="13.140625" customWidth="1"/>
    <col min="12551" max="12551" width="18.28515625" customWidth="1"/>
    <col min="12552" max="12552" width="15.28515625" customWidth="1"/>
    <col min="12553" max="12554" width="16.5703125" customWidth="1"/>
    <col min="12555" max="12555" width="0" hidden="1" customWidth="1"/>
    <col min="12556" max="12556" width="18.28515625" customWidth="1"/>
    <col min="12557" max="12557" width="19" customWidth="1"/>
    <col min="12558" max="12558" width="19.5703125" customWidth="1"/>
    <col min="12559" max="12559" width="14.85546875" customWidth="1"/>
    <col min="12560" max="12560" width="13" customWidth="1"/>
    <col min="12801" max="12801" width="5.5703125" customWidth="1"/>
    <col min="12802" max="12802" width="33.85546875" customWidth="1"/>
    <col min="12803" max="12803" width="17.42578125" customWidth="1"/>
    <col min="12804" max="12805" width="19.5703125" customWidth="1"/>
    <col min="12806" max="12806" width="13.140625" customWidth="1"/>
    <col min="12807" max="12807" width="18.28515625" customWidth="1"/>
    <col min="12808" max="12808" width="15.28515625" customWidth="1"/>
    <col min="12809" max="12810" width="16.5703125" customWidth="1"/>
    <col min="12811" max="12811" width="0" hidden="1" customWidth="1"/>
    <col min="12812" max="12812" width="18.28515625" customWidth="1"/>
    <col min="12813" max="12813" width="19" customWidth="1"/>
    <col min="12814" max="12814" width="19.5703125" customWidth="1"/>
    <col min="12815" max="12815" width="14.85546875" customWidth="1"/>
    <col min="12816" max="12816" width="13" customWidth="1"/>
    <col min="13057" max="13057" width="5.5703125" customWidth="1"/>
    <col min="13058" max="13058" width="33.85546875" customWidth="1"/>
    <col min="13059" max="13059" width="17.42578125" customWidth="1"/>
    <col min="13060" max="13061" width="19.5703125" customWidth="1"/>
    <col min="13062" max="13062" width="13.140625" customWidth="1"/>
    <col min="13063" max="13063" width="18.28515625" customWidth="1"/>
    <col min="13064" max="13064" width="15.28515625" customWidth="1"/>
    <col min="13065" max="13066" width="16.5703125" customWidth="1"/>
    <col min="13067" max="13067" width="0" hidden="1" customWidth="1"/>
    <col min="13068" max="13068" width="18.28515625" customWidth="1"/>
    <col min="13069" max="13069" width="19" customWidth="1"/>
    <col min="13070" max="13070" width="19.5703125" customWidth="1"/>
    <col min="13071" max="13071" width="14.85546875" customWidth="1"/>
    <col min="13072" max="13072" width="13" customWidth="1"/>
    <col min="13313" max="13313" width="5.5703125" customWidth="1"/>
    <col min="13314" max="13314" width="33.85546875" customWidth="1"/>
    <col min="13315" max="13315" width="17.42578125" customWidth="1"/>
    <col min="13316" max="13317" width="19.5703125" customWidth="1"/>
    <col min="13318" max="13318" width="13.140625" customWidth="1"/>
    <col min="13319" max="13319" width="18.28515625" customWidth="1"/>
    <col min="13320" max="13320" width="15.28515625" customWidth="1"/>
    <col min="13321" max="13322" width="16.5703125" customWidth="1"/>
    <col min="13323" max="13323" width="0" hidden="1" customWidth="1"/>
    <col min="13324" max="13324" width="18.28515625" customWidth="1"/>
    <col min="13325" max="13325" width="19" customWidth="1"/>
    <col min="13326" max="13326" width="19.5703125" customWidth="1"/>
    <col min="13327" max="13327" width="14.85546875" customWidth="1"/>
    <col min="13328" max="13328" width="13" customWidth="1"/>
    <col min="13569" max="13569" width="5.5703125" customWidth="1"/>
    <col min="13570" max="13570" width="33.85546875" customWidth="1"/>
    <col min="13571" max="13571" width="17.42578125" customWidth="1"/>
    <col min="13572" max="13573" width="19.5703125" customWidth="1"/>
    <col min="13574" max="13574" width="13.140625" customWidth="1"/>
    <col min="13575" max="13575" width="18.28515625" customWidth="1"/>
    <col min="13576" max="13576" width="15.28515625" customWidth="1"/>
    <col min="13577" max="13578" width="16.5703125" customWidth="1"/>
    <col min="13579" max="13579" width="0" hidden="1" customWidth="1"/>
    <col min="13580" max="13580" width="18.28515625" customWidth="1"/>
    <col min="13581" max="13581" width="19" customWidth="1"/>
    <col min="13582" max="13582" width="19.5703125" customWidth="1"/>
    <col min="13583" max="13583" width="14.85546875" customWidth="1"/>
    <col min="13584" max="13584" width="13" customWidth="1"/>
    <col min="13825" max="13825" width="5.5703125" customWidth="1"/>
    <col min="13826" max="13826" width="33.85546875" customWidth="1"/>
    <col min="13827" max="13827" width="17.42578125" customWidth="1"/>
    <col min="13828" max="13829" width="19.5703125" customWidth="1"/>
    <col min="13830" max="13830" width="13.140625" customWidth="1"/>
    <col min="13831" max="13831" width="18.28515625" customWidth="1"/>
    <col min="13832" max="13832" width="15.28515625" customWidth="1"/>
    <col min="13833" max="13834" width="16.5703125" customWidth="1"/>
    <col min="13835" max="13835" width="0" hidden="1" customWidth="1"/>
    <col min="13836" max="13836" width="18.28515625" customWidth="1"/>
    <col min="13837" max="13837" width="19" customWidth="1"/>
    <col min="13838" max="13838" width="19.5703125" customWidth="1"/>
    <col min="13839" max="13839" width="14.85546875" customWidth="1"/>
    <col min="13840" max="13840" width="13" customWidth="1"/>
    <col min="14081" max="14081" width="5.5703125" customWidth="1"/>
    <col min="14082" max="14082" width="33.85546875" customWidth="1"/>
    <col min="14083" max="14083" width="17.42578125" customWidth="1"/>
    <col min="14084" max="14085" width="19.5703125" customWidth="1"/>
    <col min="14086" max="14086" width="13.140625" customWidth="1"/>
    <col min="14087" max="14087" width="18.28515625" customWidth="1"/>
    <col min="14088" max="14088" width="15.28515625" customWidth="1"/>
    <col min="14089" max="14090" width="16.5703125" customWidth="1"/>
    <col min="14091" max="14091" width="0" hidden="1" customWidth="1"/>
    <col min="14092" max="14092" width="18.28515625" customWidth="1"/>
    <col min="14093" max="14093" width="19" customWidth="1"/>
    <col min="14094" max="14094" width="19.5703125" customWidth="1"/>
    <col min="14095" max="14095" width="14.85546875" customWidth="1"/>
    <col min="14096" max="14096" width="13" customWidth="1"/>
    <col min="14337" max="14337" width="5.5703125" customWidth="1"/>
    <col min="14338" max="14338" width="33.85546875" customWidth="1"/>
    <col min="14339" max="14339" width="17.42578125" customWidth="1"/>
    <col min="14340" max="14341" width="19.5703125" customWidth="1"/>
    <col min="14342" max="14342" width="13.140625" customWidth="1"/>
    <col min="14343" max="14343" width="18.28515625" customWidth="1"/>
    <col min="14344" max="14344" width="15.28515625" customWidth="1"/>
    <col min="14345" max="14346" width="16.5703125" customWidth="1"/>
    <col min="14347" max="14347" width="0" hidden="1" customWidth="1"/>
    <col min="14348" max="14348" width="18.28515625" customWidth="1"/>
    <col min="14349" max="14349" width="19" customWidth="1"/>
    <col min="14350" max="14350" width="19.5703125" customWidth="1"/>
    <col min="14351" max="14351" width="14.85546875" customWidth="1"/>
    <col min="14352" max="14352" width="13" customWidth="1"/>
    <col min="14593" max="14593" width="5.5703125" customWidth="1"/>
    <col min="14594" max="14594" width="33.85546875" customWidth="1"/>
    <col min="14595" max="14595" width="17.42578125" customWidth="1"/>
    <col min="14596" max="14597" width="19.5703125" customWidth="1"/>
    <col min="14598" max="14598" width="13.140625" customWidth="1"/>
    <col min="14599" max="14599" width="18.28515625" customWidth="1"/>
    <col min="14600" max="14600" width="15.28515625" customWidth="1"/>
    <col min="14601" max="14602" width="16.5703125" customWidth="1"/>
    <col min="14603" max="14603" width="0" hidden="1" customWidth="1"/>
    <col min="14604" max="14604" width="18.28515625" customWidth="1"/>
    <col min="14605" max="14605" width="19" customWidth="1"/>
    <col min="14606" max="14606" width="19.5703125" customWidth="1"/>
    <col min="14607" max="14607" width="14.85546875" customWidth="1"/>
    <col min="14608" max="14608" width="13" customWidth="1"/>
    <col min="14849" max="14849" width="5.5703125" customWidth="1"/>
    <col min="14850" max="14850" width="33.85546875" customWidth="1"/>
    <col min="14851" max="14851" width="17.42578125" customWidth="1"/>
    <col min="14852" max="14853" width="19.5703125" customWidth="1"/>
    <col min="14854" max="14854" width="13.140625" customWidth="1"/>
    <col min="14855" max="14855" width="18.28515625" customWidth="1"/>
    <col min="14856" max="14856" width="15.28515625" customWidth="1"/>
    <col min="14857" max="14858" width="16.5703125" customWidth="1"/>
    <col min="14859" max="14859" width="0" hidden="1" customWidth="1"/>
    <col min="14860" max="14860" width="18.28515625" customWidth="1"/>
    <col min="14861" max="14861" width="19" customWidth="1"/>
    <col min="14862" max="14862" width="19.5703125" customWidth="1"/>
    <col min="14863" max="14863" width="14.85546875" customWidth="1"/>
    <col min="14864" max="14864" width="13" customWidth="1"/>
    <col min="15105" max="15105" width="5.5703125" customWidth="1"/>
    <col min="15106" max="15106" width="33.85546875" customWidth="1"/>
    <col min="15107" max="15107" width="17.42578125" customWidth="1"/>
    <col min="15108" max="15109" width="19.5703125" customWidth="1"/>
    <col min="15110" max="15110" width="13.140625" customWidth="1"/>
    <col min="15111" max="15111" width="18.28515625" customWidth="1"/>
    <col min="15112" max="15112" width="15.28515625" customWidth="1"/>
    <col min="15113" max="15114" width="16.5703125" customWidth="1"/>
    <col min="15115" max="15115" width="0" hidden="1" customWidth="1"/>
    <col min="15116" max="15116" width="18.28515625" customWidth="1"/>
    <col min="15117" max="15117" width="19" customWidth="1"/>
    <col min="15118" max="15118" width="19.5703125" customWidth="1"/>
    <col min="15119" max="15119" width="14.85546875" customWidth="1"/>
    <col min="15120" max="15120" width="13" customWidth="1"/>
    <col min="15361" max="15361" width="5.5703125" customWidth="1"/>
    <col min="15362" max="15362" width="33.85546875" customWidth="1"/>
    <col min="15363" max="15363" width="17.42578125" customWidth="1"/>
    <col min="15364" max="15365" width="19.5703125" customWidth="1"/>
    <col min="15366" max="15366" width="13.140625" customWidth="1"/>
    <col min="15367" max="15367" width="18.28515625" customWidth="1"/>
    <col min="15368" max="15368" width="15.28515625" customWidth="1"/>
    <col min="15369" max="15370" width="16.5703125" customWidth="1"/>
    <col min="15371" max="15371" width="0" hidden="1" customWidth="1"/>
    <col min="15372" max="15372" width="18.28515625" customWidth="1"/>
    <col min="15373" max="15373" width="19" customWidth="1"/>
    <col min="15374" max="15374" width="19.5703125" customWidth="1"/>
    <col min="15375" max="15375" width="14.85546875" customWidth="1"/>
    <col min="15376" max="15376" width="13" customWidth="1"/>
    <col min="15617" max="15617" width="5.5703125" customWidth="1"/>
    <col min="15618" max="15618" width="33.85546875" customWidth="1"/>
    <col min="15619" max="15619" width="17.42578125" customWidth="1"/>
    <col min="15620" max="15621" width="19.5703125" customWidth="1"/>
    <col min="15622" max="15622" width="13.140625" customWidth="1"/>
    <col min="15623" max="15623" width="18.28515625" customWidth="1"/>
    <col min="15624" max="15624" width="15.28515625" customWidth="1"/>
    <col min="15625" max="15626" width="16.5703125" customWidth="1"/>
    <col min="15627" max="15627" width="0" hidden="1" customWidth="1"/>
    <col min="15628" max="15628" width="18.28515625" customWidth="1"/>
    <col min="15629" max="15629" width="19" customWidth="1"/>
    <col min="15630" max="15630" width="19.5703125" customWidth="1"/>
    <col min="15631" max="15631" width="14.85546875" customWidth="1"/>
    <col min="15632" max="15632" width="13" customWidth="1"/>
    <col min="15873" max="15873" width="5.5703125" customWidth="1"/>
    <col min="15874" max="15874" width="33.85546875" customWidth="1"/>
    <col min="15875" max="15875" width="17.42578125" customWidth="1"/>
    <col min="15876" max="15877" width="19.5703125" customWidth="1"/>
    <col min="15878" max="15878" width="13.140625" customWidth="1"/>
    <col min="15879" max="15879" width="18.28515625" customWidth="1"/>
    <col min="15880" max="15880" width="15.28515625" customWidth="1"/>
    <col min="15881" max="15882" width="16.5703125" customWidth="1"/>
    <col min="15883" max="15883" width="0" hidden="1" customWidth="1"/>
    <col min="15884" max="15884" width="18.28515625" customWidth="1"/>
    <col min="15885" max="15885" width="19" customWidth="1"/>
    <col min="15886" max="15886" width="19.5703125" customWidth="1"/>
    <col min="15887" max="15887" width="14.85546875" customWidth="1"/>
    <col min="15888" max="15888" width="13" customWidth="1"/>
    <col min="16129" max="16129" width="5.5703125" customWidth="1"/>
    <col min="16130" max="16130" width="33.85546875" customWidth="1"/>
    <col min="16131" max="16131" width="17.42578125" customWidth="1"/>
    <col min="16132" max="16133" width="19.5703125" customWidth="1"/>
    <col min="16134" max="16134" width="13.140625" customWidth="1"/>
    <col min="16135" max="16135" width="18.28515625" customWidth="1"/>
    <col min="16136" max="16136" width="15.28515625" customWidth="1"/>
    <col min="16137" max="16138" width="16.5703125" customWidth="1"/>
    <col min="16139" max="16139" width="0" hidden="1" customWidth="1"/>
    <col min="16140" max="16140" width="18.28515625" customWidth="1"/>
    <col min="16141" max="16141" width="19" customWidth="1"/>
    <col min="16142" max="16142" width="19.5703125" customWidth="1"/>
    <col min="16143" max="16143" width="14.85546875" customWidth="1"/>
    <col min="16144" max="16144" width="13" customWidth="1"/>
  </cols>
  <sheetData>
    <row r="1" spans="1:13" x14ac:dyDescent="0.25">
      <c r="A1" s="155" t="s">
        <v>169</v>
      </c>
      <c r="B1" s="155"/>
      <c r="C1" s="155"/>
      <c r="D1" s="155"/>
      <c r="E1" s="155"/>
      <c r="F1" s="155"/>
      <c r="G1" s="155"/>
      <c r="H1" s="155"/>
      <c r="I1" s="155"/>
      <c r="J1" s="155"/>
      <c r="K1" s="155"/>
      <c r="L1" s="155"/>
      <c r="M1" s="155"/>
    </row>
    <row r="2" spans="1:13" x14ac:dyDescent="0.25">
      <c r="A2" s="156" t="s">
        <v>170</v>
      </c>
      <c r="B2" s="156"/>
      <c r="C2" s="156"/>
      <c r="D2" s="156"/>
      <c r="E2" s="156"/>
      <c r="F2" s="156"/>
      <c r="G2" s="156"/>
      <c r="H2" s="156"/>
      <c r="I2" s="156"/>
      <c r="J2" s="156"/>
      <c r="K2" s="156"/>
      <c r="L2" s="156"/>
      <c r="M2" s="156"/>
    </row>
    <row r="3" spans="1:13" x14ac:dyDescent="0.25">
      <c r="A3" s="157" t="s">
        <v>171</v>
      </c>
      <c r="B3" s="157"/>
      <c r="C3" s="157"/>
      <c r="D3" s="157"/>
      <c r="E3" s="157"/>
      <c r="F3" s="157"/>
      <c r="G3" s="157"/>
      <c r="H3" s="157"/>
      <c r="I3" s="157"/>
      <c r="J3" s="157"/>
      <c r="K3" s="157"/>
      <c r="L3" s="157"/>
      <c r="M3" s="157"/>
    </row>
    <row r="5" spans="1:13" x14ac:dyDescent="0.25">
      <c r="A5" s="158" t="s">
        <v>172</v>
      </c>
      <c r="B5" s="158" t="s">
        <v>173</v>
      </c>
      <c r="C5" s="158" t="s">
        <v>174</v>
      </c>
      <c r="D5" s="158" t="s">
        <v>175</v>
      </c>
      <c r="E5" s="158" t="s">
        <v>176</v>
      </c>
      <c r="F5" s="158" t="s">
        <v>177</v>
      </c>
      <c r="G5" s="158" t="s">
        <v>2</v>
      </c>
      <c r="H5" s="161" t="s">
        <v>178</v>
      </c>
      <c r="I5" s="161"/>
      <c r="J5" s="161"/>
      <c r="K5" s="162"/>
      <c r="L5" s="158" t="s">
        <v>179</v>
      </c>
      <c r="M5" s="158" t="s">
        <v>180</v>
      </c>
    </row>
    <row r="6" spans="1:13" x14ac:dyDescent="0.25">
      <c r="A6" s="159"/>
      <c r="B6" s="159"/>
      <c r="C6" s="159"/>
      <c r="D6" s="159"/>
      <c r="E6" s="159"/>
      <c r="F6" s="159"/>
      <c r="G6" s="159"/>
      <c r="H6" s="163" t="s">
        <v>181</v>
      </c>
      <c r="I6" s="161"/>
      <c r="J6" s="161"/>
      <c r="K6" s="162"/>
      <c r="L6" s="159"/>
      <c r="M6" s="159"/>
    </row>
    <row r="7" spans="1:13" x14ac:dyDescent="0.25">
      <c r="A7" s="160"/>
      <c r="B7" s="160"/>
      <c r="C7" s="160"/>
      <c r="D7" s="160"/>
      <c r="E7" s="160"/>
      <c r="F7" s="160"/>
      <c r="G7" s="160"/>
      <c r="H7" s="63" t="s">
        <v>21</v>
      </c>
      <c r="I7" s="63" t="s">
        <v>50</v>
      </c>
      <c r="J7" s="63" t="s">
        <v>66</v>
      </c>
      <c r="K7" s="64" t="s">
        <v>182</v>
      </c>
      <c r="L7" s="160"/>
      <c r="M7" s="160"/>
    </row>
    <row r="8" spans="1:13" x14ac:dyDescent="0.25">
      <c r="A8" s="65">
        <v>1</v>
      </c>
      <c r="B8" s="65">
        <v>2</v>
      </c>
      <c r="C8" s="65">
        <v>3</v>
      </c>
      <c r="D8" s="65">
        <v>4</v>
      </c>
      <c r="E8" s="65">
        <v>5</v>
      </c>
      <c r="F8" s="65">
        <v>6</v>
      </c>
      <c r="G8" s="65">
        <v>7</v>
      </c>
      <c r="H8" s="65">
        <v>8</v>
      </c>
      <c r="I8" s="65">
        <v>9</v>
      </c>
      <c r="J8" s="65">
        <v>10</v>
      </c>
      <c r="K8" s="65">
        <v>12</v>
      </c>
      <c r="L8" s="65">
        <v>11</v>
      </c>
      <c r="M8" s="65">
        <v>12</v>
      </c>
    </row>
    <row r="9" spans="1:13" x14ac:dyDescent="0.25">
      <c r="A9" s="164" t="s">
        <v>183</v>
      </c>
      <c r="B9" s="165"/>
      <c r="C9" s="165"/>
      <c r="D9" s="165"/>
      <c r="E9" s="165"/>
      <c r="F9" s="166"/>
      <c r="G9" s="66" t="s">
        <v>3</v>
      </c>
      <c r="H9" s="67">
        <f>ROUND(SUM(H10:H15),5)</f>
        <v>0</v>
      </c>
      <c r="I9" s="67">
        <f>ROUND(SUM(I10:I15),5)</f>
        <v>0</v>
      </c>
      <c r="J9" s="67"/>
      <c r="K9" s="67">
        <f>ROUND(SUM(K10:K15),5)</f>
        <v>0</v>
      </c>
      <c r="L9" s="173"/>
      <c r="M9" s="173"/>
    </row>
    <row r="10" spans="1:13" ht="31.5" x14ac:dyDescent="0.25">
      <c r="A10" s="167"/>
      <c r="B10" s="168"/>
      <c r="C10" s="168"/>
      <c r="D10" s="168"/>
      <c r="E10" s="168"/>
      <c r="F10" s="169"/>
      <c r="G10" s="66" t="s">
        <v>4</v>
      </c>
      <c r="H10" s="68">
        <v>0</v>
      </c>
      <c r="I10" s="68">
        <v>0</v>
      </c>
      <c r="J10" s="69"/>
      <c r="K10" s="69">
        <v>0</v>
      </c>
      <c r="L10" s="174"/>
      <c r="M10" s="174"/>
    </row>
    <row r="11" spans="1:13" ht="47.25" x14ac:dyDescent="0.25">
      <c r="A11" s="167"/>
      <c r="B11" s="168"/>
      <c r="C11" s="168"/>
      <c r="D11" s="168"/>
      <c r="E11" s="168"/>
      <c r="F11" s="169"/>
      <c r="G11" s="70" t="s">
        <v>5</v>
      </c>
      <c r="H11" s="68">
        <v>0</v>
      </c>
      <c r="I11" s="68">
        <v>0</v>
      </c>
      <c r="J11" s="69"/>
      <c r="K11" s="69">
        <v>0</v>
      </c>
      <c r="L11" s="174"/>
      <c r="M11" s="174"/>
    </row>
    <row r="12" spans="1:13" x14ac:dyDescent="0.25">
      <c r="A12" s="167"/>
      <c r="B12" s="168"/>
      <c r="C12" s="168"/>
      <c r="D12" s="168"/>
      <c r="E12" s="168"/>
      <c r="F12" s="169"/>
      <c r="G12" s="70" t="s">
        <v>6</v>
      </c>
      <c r="H12" s="68">
        <v>0</v>
      </c>
      <c r="I12" s="18"/>
      <c r="J12" s="18"/>
      <c r="K12" s="18">
        <f>127567.4+1537.5+85044.9-214149.8</f>
        <v>0</v>
      </c>
      <c r="L12" s="174"/>
      <c r="M12" s="174"/>
    </row>
    <row r="13" spans="1:13" ht="63" x14ac:dyDescent="0.25">
      <c r="A13" s="167"/>
      <c r="B13" s="168"/>
      <c r="C13" s="168"/>
      <c r="D13" s="168"/>
      <c r="E13" s="168"/>
      <c r="F13" s="169"/>
      <c r="G13" s="66" t="s">
        <v>8</v>
      </c>
      <c r="H13" s="68">
        <v>0</v>
      </c>
      <c r="I13" s="71">
        <v>0</v>
      </c>
      <c r="J13" s="71">
        <v>0</v>
      </c>
      <c r="K13" s="18">
        <v>0</v>
      </c>
      <c r="L13" s="174"/>
      <c r="M13" s="174"/>
    </row>
    <row r="14" spans="1:13" ht="31.5" x14ac:dyDescent="0.25">
      <c r="A14" s="167"/>
      <c r="B14" s="168"/>
      <c r="C14" s="168"/>
      <c r="D14" s="168"/>
      <c r="E14" s="168"/>
      <c r="F14" s="169"/>
      <c r="G14" s="66" t="s">
        <v>18</v>
      </c>
      <c r="H14" s="68">
        <v>0</v>
      </c>
      <c r="I14" s="71">
        <v>0</v>
      </c>
      <c r="J14" s="71">
        <v>0</v>
      </c>
      <c r="K14" s="18">
        <v>0</v>
      </c>
      <c r="L14" s="174"/>
      <c r="M14" s="174"/>
    </row>
    <row r="15" spans="1:13" x14ac:dyDescent="0.25">
      <c r="A15" s="170"/>
      <c r="B15" s="171"/>
      <c r="C15" s="171"/>
      <c r="D15" s="171"/>
      <c r="E15" s="171"/>
      <c r="F15" s="172"/>
      <c r="G15" s="72" t="s">
        <v>7</v>
      </c>
      <c r="H15" s="73">
        <v>0</v>
      </c>
      <c r="I15" s="18"/>
      <c r="J15" s="18"/>
      <c r="K15" s="18">
        <f>1148106.7+13837.2+765404.5-1927348.4</f>
        <v>0</v>
      </c>
      <c r="L15" s="175"/>
      <c r="M15" s="175"/>
    </row>
    <row r="16" spans="1:13" hidden="1" x14ac:dyDescent="0.25">
      <c r="A16" s="179">
        <v>2</v>
      </c>
      <c r="B16" s="173"/>
      <c r="C16" s="182"/>
      <c r="D16" s="182"/>
      <c r="E16" s="176">
        <v>0</v>
      </c>
      <c r="F16" s="176">
        <v>0</v>
      </c>
      <c r="G16" s="74" t="s">
        <v>3</v>
      </c>
      <c r="H16" s="67">
        <f>ROUND(SUM(H17:H22),5)</f>
        <v>0</v>
      </c>
      <c r="I16" s="67">
        <f>ROUND(SUM(I17:I22),5)</f>
        <v>0</v>
      </c>
      <c r="J16" s="67"/>
      <c r="K16" s="67">
        <f>ROUND(SUM(K17:K22),5)</f>
        <v>0</v>
      </c>
      <c r="L16" s="173"/>
      <c r="M16" s="173"/>
    </row>
    <row r="17" spans="1:13" ht="31.5" hidden="1" x14ac:dyDescent="0.25">
      <c r="A17" s="180"/>
      <c r="B17" s="174"/>
      <c r="C17" s="183"/>
      <c r="D17" s="183"/>
      <c r="E17" s="177"/>
      <c r="F17" s="177"/>
      <c r="G17" s="66" t="s">
        <v>4</v>
      </c>
      <c r="H17" s="68">
        <v>0</v>
      </c>
      <c r="I17" s="68">
        <v>0</v>
      </c>
      <c r="J17" s="69"/>
      <c r="K17" s="69">
        <v>0</v>
      </c>
      <c r="L17" s="174"/>
      <c r="M17" s="174"/>
    </row>
    <row r="18" spans="1:13" ht="47.25" hidden="1" x14ac:dyDescent="0.25">
      <c r="A18" s="180"/>
      <c r="B18" s="174"/>
      <c r="C18" s="183"/>
      <c r="D18" s="183"/>
      <c r="E18" s="177"/>
      <c r="F18" s="177"/>
      <c r="G18" s="70" t="s">
        <v>5</v>
      </c>
      <c r="H18" s="68">
        <v>0</v>
      </c>
      <c r="I18" s="68">
        <v>0</v>
      </c>
      <c r="J18" s="69"/>
      <c r="K18" s="69">
        <v>0</v>
      </c>
      <c r="L18" s="174"/>
      <c r="M18" s="174"/>
    </row>
    <row r="19" spans="1:13" hidden="1" x14ac:dyDescent="0.25">
      <c r="A19" s="180"/>
      <c r="B19" s="174"/>
      <c r="C19" s="183"/>
      <c r="D19" s="183"/>
      <c r="E19" s="177"/>
      <c r="F19" s="177"/>
      <c r="G19" s="70" t="s">
        <v>6</v>
      </c>
      <c r="H19" s="68">
        <v>0</v>
      </c>
      <c r="I19" s="68">
        <v>0</v>
      </c>
      <c r="J19" s="69"/>
      <c r="K19" s="69">
        <v>0</v>
      </c>
      <c r="L19" s="174"/>
      <c r="M19" s="174"/>
    </row>
    <row r="20" spans="1:13" ht="63" hidden="1" x14ac:dyDescent="0.25">
      <c r="A20" s="180"/>
      <c r="B20" s="174"/>
      <c r="C20" s="183"/>
      <c r="D20" s="183"/>
      <c r="E20" s="177"/>
      <c r="F20" s="177"/>
      <c r="G20" s="66" t="s">
        <v>8</v>
      </c>
      <c r="H20" s="68">
        <v>0</v>
      </c>
      <c r="I20" s="68">
        <v>0</v>
      </c>
      <c r="J20" s="69"/>
      <c r="K20" s="69">
        <v>0</v>
      </c>
      <c r="L20" s="174"/>
      <c r="M20" s="174"/>
    </row>
    <row r="21" spans="1:13" ht="31.5" hidden="1" x14ac:dyDescent="0.25">
      <c r="A21" s="180"/>
      <c r="B21" s="174"/>
      <c r="C21" s="183"/>
      <c r="D21" s="183"/>
      <c r="E21" s="177"/>
      <c r="F21" s="177"/>
      <c r="G21" s="66" t="s">
        <v>18</v>
      </c>
      <c r="H21" s="68">
        <v>0</v>
      </c>
      <c r="I21" s="68">
        <v>0</v>
      </c>
      <c r="J21" s="69"/>
      <c r="K21" s="69">
        <v>0</v>
      </c>
      <c r="L21" s="174"/>
      <c r="M21" s="174"/>
    </row>
    <row r="22" spans="1:13" hidden="1" x14ac:dyDescent="0.25">
      <c r="A22" s="181"/>
      <c r="B22" s="175"/>
      <c r="C22" s="184"/>
      <c r="D22" s="184"/>
      <c r="E22" s="178"/>
      <c r="F22" s="178"/>
      <c r="G22" s="72" t="s">
        <v>7</v>
      </c>
      <c r="H22" s="73"/>
      <c r="I22" s="73">
        <f>100000-100000</f>
        <v>0</v>
      </c>
      <c r="J22" s="75"/>
      <c r="K22" s="75">
        <f>477211.1-477211.1</f>
        <v>0</v>
      </c>
      <c r="L22" s="175"/>
      <c r="M22" s="175"/>
    </row>
    <row r="23" spans="1:13" hidden="1" x14ac:dyDescent="0.25">
      <c r="A23" s="179">
        <v>3</v>
      </c>
      <c r="B23" s="173"/>
      <c r="C23" s="182"/>
      <c r="D23" s="182"/>
      <c r="E23" s="176">
        <v>0</v>
      </c>
      <c r="F23" s="176">
        <v>0</v>
      </c>
      <c r="G23" s="74" t="s">
        <v>3</v>
      </c>
      <c r="H23" s="67">
        <f>ROUND(SUM(H24:H29),5)</f>
        <v>0</v>
      </c>
      <c r="I23" s="67">
        <f>ROUND(SUM(I24:I29),5)</f>
        <v>0</v>
      </c>
      <c r="J23" s="67"/>
      <c r="K23" s="67">
        <f>ROUND(SUM(K24:K29),5)</f>
        <v>0</v>
      </c>
      <c r="L23" s="173"/>
      <c r="M23" s="173"/>
    </row>
    <row r="24" spans="1:13" ht="31.5" hidden="1" x14ac:dyDescent="0.25">
      <c r="A24" s="180"/>
      <c r="B24" s="174"/>
      <c r="C24" s="183"/>
      <c r="D24" s="183"/>
      <c r="E24" s="177"/>
      <c r="F24" s="177"/>
      <c r="G24" s="66" t="s">
        <v>4</v>
      </c>
      <c r="H24" s="68">
        <v>0</v>
      </c>
      <c r="I24" s="68">
        <v>0</v>
      </c>
      <c r="J24" s="69"/>
      <c r="K24" s="69">
        <v>0</v>
      </c>
      <c r="L24" s="174"/>
      <c r="M24" s="174"/>
    </row>
    <row r="25" spans="1:13" ht="47.25" hidden="1" x14ac:dyDescent="0.25">
      <c r="A25" s="180"/>
      <c r="B25" s="174"/>
      <c r="C25" s="183"/>
      <c r="D25" s="183"/>
      <c r="E25" s="177"/>
      <c r="F25" s="177"/>
      <c r="G25" s="70" t="s">
        <v>5</v>
      </c>
      <c r="H25" s="68">
        <v>0</v>
      </c>
      <c r="I25" s="68">
        <v>0</v>
      </c>
      <c r="J25" s="69"/>
      <c r="K25" s="69">
        <v>0</v>
      </c>
      <c r="L25" s="174"/>
      <c r="M25" s="174"/>
    </row>
    <row r="26" spans="1:13" hidden="1" x14ac:dyDescent="0.25">
      <c r="A26" s="180"/>
      <c r="B26" s="174"/>
      <c r="C26" s="183"/>
      <c r="D26" s="183"/>
      <c r="E26" s="177"/>
      <c r="F26" s="177"/>
      <c r="G26" s="70" t="s">
        <v>6</v>
      </c>
      <c r="H26" s="73"/>
      <c r="I26" s="73"/>
      <c r="J26" s="75"/>
      <c r="K26" s="75"/>
      <c r="L26" s="174"/>
      <c r="M26" s="174"/>
    </row>
    <row r="27" spans="1:13" ht="63" hidden="1" x14ac:dyDescent="0.25">
      <c r="A27" s="180"/>
      <c r="B27" s="174"/>
      <c r="C27" s="183"/>
      <c r="D27" s="183"/>
      <c r="E27" s="177"/>
      <c r="F27" s="177"/>
      <c r="G27" s="66" t="s">
        <v>8</v>
      </c>
      <c r="H27" s="68">
        <v>0</v>
      </c>
      <c r="I27" s="68">
        <v>0</v>
      </c>
      <c r="J27" s="69"/>
      <c r="K27" s="69">
        <v>0</v>
      </c>
      <c r="L27" s="174"/>
      <c r="M27" s="174"/>
    </row>
    <row r="28" spans="1:13" ht="31.5" hidden="1" x14ac:dyDescent="0.25">
      <c r="A28" s="180"/>
      <c r="B28" s="174"/>
      <c r="C28" s="183"/>
      <c r="D28" s="183"/>
      <c r="E28" s="177"/>
      <c r="F28" s="177"/>
      <c r="G28" s="66" t="s">
        <v>18</v>
      </c>
      <c r="H28" s="68">
        <v>0</v>
      </c>
      <c r="I28" s="68">
        <v>0</v>
      </c>
      <c r="J28" s="69"/>
      <c r="K28" s="69">
        <v>0</v>
      </c>
      <c r="L28" s="174"/>
      <c r="M28" s="174"/>
    </row>
    <row r="29" spans="1:13" hidden="1" x14ac:dyDescent="0.25">
      <c r="A29" s="181"/>
      <c r="B29" s="175"/>
      <c r="C29" s="184"/>
      <c r="D29" s="184"/>
      <c r="E29" s="178"/>
      <c r="F29" s="178"/>
      <c r="G29" s="72" t="s">
        <v>7</v>
      </c>
      <c r="H29" s="68"/>
      <c r="I29" s="68">
        <v>0</v>
      </c>
      <c r="J29" s="69"/>
      <c r="K29" s="69">
        <f>170000-170000</f>
        <v>0</v>
      </c>
      <c r="L29" s="175"/>
      <c r="M29" s="175"/>
    </row>
    <row r="30" spans="1:13" x14ac:dyDescent="0.25">
      <c r="A30" s="179">
        <v>1</v>
      </c>
      <c r="B30" s="173"/>
      <c r="C30" s="182"/>
      <c r="D30" s="185"/>
      <c r="E30" s="188"/>
      <c r="F30" s="176"/>
      <c r="G30" s="72" t="s">
        <v>3</v>
      </c>
      <c r="H30" s="67">
        <f>ROUND(SUM(H31:H36),5)</f>
        <v>0</v>
      </c>
      <c r="I30" s="67">
        <f>ROUND(SUM(I31:I36),5)</f>
        <v>0</v>
      </c>
      <c r="J30" s="67"/>
      <c r="K30" s="67">
        <f>ROUND(SUM(K31:K36),5)</f>
        <v>0</v>
      </c>
      <c r="L30" s="173"/>
      <c r="M30" s="173"/>
    </row>
    <row r="31" spans="1:13" ht="31.5" x14ac:dyDescent="0.25">
      <c r="A31" s="180"/>
      <c r="B31" s="174"/>
      <c r="C31" s="183"/>
      <c r="D31" s="186"/>
      <c r="E31" s="189"/>
      <c r="F31" s="177"/>
      <c r="G31" s="72" t="s">
        <v>4</v>
      </c>
      <c r="H31" s="76">
        <f>H10+H17+H24</f>
        <v>0</v>
      </c>
      <c r="I31" s="76">
        <f>I10+I17+I24</f>
        <v>0</v>
      </c>
      <c r="J31" s="76">
        <f>J10+J17+J24</f>
        <v>0</v>
      </c>
      <c r="K31" s="76">
        <f>K10+K17+K24</f>
        <v>0</v>
      </c>
      <c r="L31" s="174"/>
      <c r="M31" s="174"/>
    </row>
    <row r="32" spans="1:13" ht="47.25" x14ac:dyDescent="0.25">
      <c r="A32" s="180"/>
      <c r="B32" s="174"/>
      <c r="C32" s="183"/>
      <c r="D32" s="186"/>
      <c r="E32" s="189"/>
      <c r="F32" s="177"/>
      <c r="G32" s="72" t="s">
        <v>5</v>
      </c>
      <c r="H32" s="76">
        <f t="shared" ref="H32:K36" si="0">H11+H18+H25</f>
        <v>0</v>
      </c>
      <c r="I32" s="76">
        <f t="shared" si="0"/>
        <v>0</v>
      </c>
      <c r="J32" s="76">
        <f t="shared" si="0"/>
        <v>0</v>
      </c>
      <c r="K32" s="76">
        <f t="shared" si="0"/>
        <v>0</v>
      </c>
      <c r="L32" s="174"/>
      <c r="M32" s="174"/>
    </row>
    <row r="33" spans="1:13" x14ac:dyDescent="0.25">
      <c r="A33" s="180"/>
      <c r="B33" s="174"/>
      <c r="C33" s="183"/>
      <c r="D33" s="186"/>
      <c r="E33" s="189"/>
      <c r="F33" s="177"/>
      <c r="G33" s="72" t="s">
        <v>6</v>
      </c>
      <c r="H33" s="76">
        <f t="shared" si="0"/>
        <v>0</v>
      </c>
      <c r="I33" s="76">
        <f t="shared" si="0"/>
        <v>0</v>
      </c>
      <c r="J33" s="76">
        <f t="shared" si="0"/>
        <v>0</v>
      </c>
      <c r="K33" s="76">
        <f t="shared" si="0"/>
        <v>0</v>
      </c>
      <c r="L33" s="174"/>
      <c r="M33" s="174"/>
    </row>
    <row r="34" spans="1:13" ht="63" x14ac:dyDescent="0.25">
      <c r="A34" s="180"/>
      <c r="B34" s="174"/>
      <c r="C34" s="183"/>
      <c r="D34" s="186"/>
      <c r="E34" s="189"/>
      <c r="F34" s="177"/>
      <c r="G34" s="72" t="s">
        <v>8</v>
      </c>
      <c r="H34" s="76">
        <f t="shared" si="0"/>
        <v>0</v>
      </c>
      <c r="I34" s="76">
        <f t="shared" si="0"/>
        <v>0</v>
      </c>
      <c r="J34" s="76">
        <f t="shared" si="0"/>
        <v>0</v>
      </c>
      <c r="K34" s="76">
        <f t="shared" si="0"/>
        <v>0</v>
      </c>
      <c r="L34" s="174"/>
      <c r="M34" s="174"/>
    </row>
    <row r="35" spans="1:13" ht="31.5" x14ac:dyDescent="0.25">
      <c r="A35" s="180"/>
      <c r="B35" s="174"/>
      <c r="C35" s="183"/>
      <c r="D35" s="186"/>
      <c r="E35" s="189"/>
      <c r="F35" s="177"/>
      <c r="G35" s="72" t="s">
        <v>18</v>
      </c>
      <c r="H35" s="76">
        <f t="shared" si="0"/>
        <v>0</v>
      </c>
      <c r="I35" s="76">
        <f t="shared" si="0"/>
        <v>0</v>
      </c>
      <c r="J35" s="76">
        <f t="shared" si="0"/>
        <v>0</v>
      </c>
      <c r="K35" s="76">
        <f t="shared" si="0"/>
        <v>0</v>
      </c>
      <c r="L35" s="174"/>
      <c r="M35" s="174"/>
    </row>
    <row r="36" spans="1:13" x14ac:dyDescent="0.25">
      <c r="A36" s="181"/>
      <c r="B36" s="175"/>
      <c r="C36" s="184"/>
      <c r="D36" s="187"/>
      <c r="E36" s="190"/>
      <c r="F36" s="178"/>
      <c r="G36" s="72" t="s">
        <v>7</v>
      </c>
      <c r="H36" s="76">
        <f t="shared" si="0"/>
        <v>0</v>
      </c>
      <c r="I36" s="76">
        <f t="shared" si="0"/>
        <v>0</v>
      </c>
      <c r="J36" s="76">
        <f t="shared" si="0"/>
        <v>0</v>
      </c>
      <c r="K36" s="76">
        <f t="shared" si="0"/>
        <v>0</v>
      </c>
      <c r="L36" s="175"/>
      <c r="M36" s="175"/>
    </row>
    <row r="37" spans="1:13" x14ac:dyDescent="0.25">
      <c r="A37" s="77"/>
      <c r="B37" s="78"/>
      <c r="C37" s="79"/>
      <c r="D37" s="80"/>
      <c r="E37" s="79"/>
      <c r="F37" s="79"/>
      <c r="G37" s="81"/>
      <c r="H37" s="82"/>
      <c r="I37" s="82"/>
      <c r="J37" s="82"/>
      <c r="K37" s="82"/>
      <c r="L37" s="83"/>
      <c r="M37" s="83"/>
    </row>
  </sheetData>
  <mergeCells count="41">
    <mergeCell ref="L30:L36"/>
    <mergeCell ref="M30:M36"/>
    <mergeCell ref="A30:A36"/>
    <mergeCell ref="B30:B36"/>
    <mergeCell ref="C30:C36"/>
    <mergeCell ref="D30:D36"/>
    <mergeCell ref="E30:E36"/>
    <mergeCell ref="F30:F36"/>
    <mergeCell ref="F23:F29"/>
    <mergeCell ref="L23:L29"/>
    <mergeCell ref="M23:M29"/>
    <mergeCell ref="A16:A22"/>
    <mergeCell ref="B16:B22"/>
    <mergeCell ref="C16:C22"/>
    <mergeCell ref="D16:D22"/>
    <mergeCell ref="E16:E22"/>
    <mergeCell ref="F16:F22"/>
    <mergeCell ref="A23:A29"/>
    <mergeCell ref="B23:B29"/>
    <mergeCell ref="C23:C29"/>
    <mergeCell ref="D23:D29"/>
    <mergeCell ref="E23:E29"/>
    <mergeCell ref="A9:F15"/>
    <mergeCell ref="L9:L15"/>
    <mergeCell ref="M9:M15"/>
    <mergeCell ref="L16:L22"/>
    <mergeCell ref="M16:M22"/>
    <mergeCell ref="A1:M1"/>
    <mergeCell ref="A2:M2"/>
    <mergeCell ref="A3:M3"/>
    <mergeCell ref="A5:A7"/>
    <mergeCell ref="B5:B7"/>
    <mergeCell ref="C5:C7"/>
    <mergeCell ref="D5:D7"/>
    <mergeCell ref="E5:E7"/>
    <mergeCell ref="F5:F7"/>
    <mergeCell ref="G5:G7"/>
    <mergeCell ref="H5:K5"/>
    <mergeCell ref="L5:L7"/>
    <mergeCell ref="M5:M7"/>
    <mergeCell ref="H6:K6"/>
  </mergeCells>
  <pageMargins left="0.7" right="0.7" top="0.75" bottom="0.75" header="0.3" footer="0.3"/>
  <pageSetup paperSize="9" scale="6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DEFDC-1F83-4F08-9E2D-BEAFD6F345A1}">
  <sheetPr>
    <pageSetUpPr fitToPage="1"/>
  </sheetPr>
  <dimension ref="A1:G8"/>
  <sheetViews>
    <sheetView view="pageBreakPreview" zoomScale="69" zoomScaleNormal="100" zoomScaleSheetLayoutView="69" workbookViewId="0">
      <selection activeCell="G22" sqref="G22"/>
    </sheetView>
  </sheetViews>
  <sheetFormatPr defaultRowHeight="15.75" x14ac:dyDescent="0.25"/>
  <cols>
    <col min="1" max="1" width="8.42578125" style="62" customWidth="1"/>
    <col min="2" max="2" width="53.28515625" style="62" customWidth="1"/>
    <col min="3" max="3" width="20" style="62" customWidth="1"/>
    <col min="4" max="4" width="18.5703125" style="62" customWidth="1"/>
    <col min="5" max="5" width="23.140625" style="62" customWidth="1"/>
    <col min="6" max="6" width="46.85546875" style="62" customWidth="1"/>
    <col min="7" max="7" width="46.28515625" style="62" customWidth="1"/>
    <col min="8" max="8" width="19.5703125" customWidth="1"/>
    <col min="9" max="9" width="14.85546875" customWidth="1"/>
    <col min="10" max="10" width="13" customWidth="1"/>
    <col min="257" max="257" width="8.42578125" customWidth="1"/>
    <col min="258" max="258" width="53.28515625" customWidth="1"/>
    <col min="259" max="259" width="20" customWidth="1"/>
    <col min="260" max="260" width="18.5703125" customWidth="1"/>
    <col min="261" max="261" width="23.140625" customWidth="1"/>
    <col min="262" max="262" width="46.85546875" customWidth="1"/>
    <col min="263" max="263" width="46.28515625" customWidth="1"/>
    <col min="264" max="264" width="19.5703125" customWidth="1"/>
    <col min="265" max="265" width="14.85546875" customWidth="1"/>
    <col min="266" max="266" width="13" customWidth="1"/>
    <col min="513" max="513" width="8.42578125" customWidth="1"/>
    <col min="514" max="514" width="53.28515625" customWidth="1"/>
    <col min="515" max="515" width="20" customWidth="1"/>
    <col min="516" max="516" width="18.5703125" customWidth="1"/>
    <col min="517" max="517" width="23.140625" customWidth="1"/>
    <col min="518" max="518" width="46.85546875" customWidth="1"/>
    <col min="519" max="519" width="46.28515625" customWidth="1"/>
    <col min="520" max="520" width="19.5703125" customWidth="1"/>
    <col min="521" max="521" width="14.85546875" customWidth="1"/>
    <col min="522" max="522" width="13" customWidth="1"/>
    <col min="769" max="769" width="8.42578125" customWidth="1"/>
    <col min="770" max="770" width="53.28515625" customWidth="1"/>
    <col min="771" max="771" width="20" customWidth="1"/>
    <col min="772" max="772" width="18.5703125" customWidth="1"/>
    <col min="773" max="773" width="23.140625" customWidth="1"/>
    <col min="774" max="774" width="46.85546875" customWidth="1"/>
    <col min="775" max="775" width="46.28515625" customWidth="1"/>
    <col min="776" max="776" width="19.5703125" customWidth="1"/>
    <col min="777" max="777" width="14.85546875" customWidth="1"/>
    <col min="778" max="778" width="13" customWidth="1"/>
    <col min="1025" max="1025" width="8.42578125" customWidth="1"/>
    <col min="1026" max="1026" width="53.28515625" customWidth="1"/>
    <col min="1027" max="1027" width="20" customWidth="1"/>
    <col min="1028" max="1028" width="18.5703125" customWidth="1"/>
    <col min="1029" max="1029" width="23.140625" customWidth="1"/>
    <col min="1030" max="1030" width="46.85546875" customWidth="1"/>
    <col min="1031" max="1031" width="46.28515625" customWidth="1"/>
    <col min="1032" max="1032" width="19.5703125" customWidth="1"/>
    <col min="1033" max="1033" width="14.85546875" customWidth="1"/>
    <col min="1034" max="1034" width="13" customWidth="1"/>
    <col min="1281" max="1281" width="8.42578125" customWidth="1"/>
    <col min="1282" max="1282" width="53.28515625" customWidth="1"/>
    <col min="1283" max="1283" width="20" customWidth="1"/>
    <col min="1284" max="1284" width="18.5703125" customWidth="1"/>
    <col min="1285" max="1285" width="23.140625" customWidth="1"/>
    <col min="1286" max="1286" width="46.85546875" customWidth="1"/>
    <col min="1287" max="1287" width="46.28515625" customWidth="1"/>
    <col min="1288" max="1288" width="19.5703125" customWidth="1"/>
    <col min="1289" max="1289" width="14.85546875" customWidth="1"/>
    <col min="1290" max="1290" width="13" customWidth="1"/>
    <col min="1537" max="1537" width="8.42578125" customWidth="1"/>
    <col min="1538" max="1538" width="53.28515625" customWidth="1"/>
    <col min="1539" max="1539" width="20" customWidth="1"/>
    <col min="1540" max="1540" width="18.5703125" customWidth="1"/>
    <col min="1541" max="1541" width="23.140625" customWidth="1"/>
    <col min="1542" max="1542" width="46.85546875" customWidth="1"/>
    <col min="1543" max="1543" width="46.28515625" customWidth="1"/>
    <col min="1544" max="1544" width="19.5703125" customWidth="1"/>
    <col min="1545" max="1545" width="14.85546875" customWidth="1"/>
    <col min="1546" max="1546" width="13" customWidth="1"/>
    <col min="1793" max="1793" width="8.42578125" customWidth="1"/>
    <col min="1794" max="1794" width="53.28515625" customWidth="1"/>
    <col min="1795" max="1795" width="20" customWidth="1"/>
    <col min="1796" max="1796" width="18.5703125" customWidth="1"/>
    <col min="1797" max="1797" width="23.140625" customWidth="1"/>
    <col min="1798" max="1798" width="46.85546875" customWidth="1"/>
    <col min="1799" max="1799" width="46.28515625" customWidth="1"/>
    <col min="1800" max="1800" width="19.5703125" customWidth="1"/>
    <col min="1801" max="1801" width="14.85546875" customWidth="1"/>
    <col min="1802" max="1802" width="13" customWidth="1"/>
    <col min="2049" max="2049" width="8.42578125" customWidth="1"/>
    <col min="2050" max="2050" width="53.28515625" customWidth="1"/>
    <col min="2051" max="2051" width="20" customWidth="1"/>
    <col min="2052" max="2052" width="18.5703125" customWidth="1"/>
    <col min="2053" max="2053" width="23.140625" customWidth="1"/>
    <col min="2054" max="2054" width="46.85546875" customWidth="1"/>
    <col min="2055" max="2055" width="46.28515625" customWidth="1"/>
    <col min="2056" max="2056" width="19.5703125" customWidth="1"/>
    <col min="2057" max="2057" width="14.85546875" customWidth="1"/>
    <col min="2058" max="2058" width="13" customWidth="1"/>
    <col min="2305" max="2305" width="8.42578125" customWidth="1"/>
    <col min="2306" max="2306" width="53.28515625" customWidth="1"/>
    <col min="2307" max="2307" width="20" customWidth="1"/>
    <col min="2308" max="2308" width="18.5703125" customWidth="1"/>
    <col min="2309" max="2309" width="23.140625" customWidth="1"/>
    <col min="2310" max="2310" width="46.85546875" customWidth="1"/>
    <col min="2311" max="2311" width="46.28515625" customWidth="1"/>
    <col min="2312" max="2312" width="19.5703125" customWidth="1"/>
    <col min="2313" max="2313" width="14.85546875" customWidth="1"/>
    <col min="2314" max="2314" width="13" customWidth="1"/>
    <col min="2561" max="2561" width="8.42578125" customWidth="1"/>
    <col min="2562" max="2562" width="53.28515625" customWidth="1"/>
    <col min="2563" max="2563" width="20" customWidth="1"/>
    <col min="2564" max="2564" width="18.5703125" customWidth="1"/>
    <col min="2565" max="2565" width="23.140625" customWidth="1"/>
    <col min="2566" max="2566" width="46.85546875" customWidth="1"/>
    <col min="2567" max="2567" width="46.28515625" customWidth="1"/>
    <col min="2568" max="2568" width="19.5703125" customWidth="1"/>
    <col min="2569" max="2569" width="14.85546875" customWidth="1"/>
    <col min="2570" max="2570" width="13" customWidth="1"/>
    <col min="2817" max="2817" width="8.42578125" customWidth="1"/>
    <col min="2818" max="2818" width="53.28515625" customWidth="1"/>
    <col min="2819" max="2819" width="20" customWidth="1"/>
    <col min="2820" max="2820" width="18.5703125" customWidth="1"/>
    <col min="2821" max="2821" width="23.140625" customWidth="1"/>
    <col min="2822" max="2822" width="46.85546875" customWidth="1"/>
    <col min="2823" max="2823" width="46.28515625" customWidth="1"/>
    <col min="2824" max="2824" width="19.5703125" customWidth="1"/>
    <col min="2825" max="2825" width="14.85546875" customWidth="1"/>
    <col min="2826" max="2826" width="13" customWidth="1"/>
    <col min="3073" max="3073" width="8.42578125" customWidth="1"/>
    <col min="3074" max="3074" width="53.28515625" customWidth="1"/>
    <col min="3075" max="3075" width="20" customWidth="1"/>
    <col min="3076" max="3076" width="18.5703125" customWidth="1"/>
    <col min="3077" max="3077" width="23.140625" customWidth="1"/>
    <col min="3078" max="3078" width="46.85546875" customWidth="1"/>
    <col min="3079" max="3079" width="46.28515625" customWidth="1"/>
    <col min="3080" max="3080" width="19.5703125" customWidth="1"/>
    <col min="3081" max="3081" width="14.85546875" customWidth="1"/>
    <col min="3082" max="3082" width="13" customWidth="1"/>
    <col min="3329" max="3329" width="8.42578125" customWidth="1"/>
    <col min="3330" max="3330" width="53.28515625" customWidth="1"/>
    <col min="3331" max="3331" width="20" customWidth="1"/>
    <col min="3332" max="3332" width="18.5703125" customWidth="1"/>
    <col min="3333" max="3333" width="23.140625" customWidth="1"/>
    <col min="3334" max="3334" width="46.85546875" customWidth="1"/>
    <col min="3335" max="3335" width="46.28515625" customWidth="1"/>
    <col min="3336" max="3336" width="19.5703125" customWidth="1"/>
    <col min="3337" max="3337" width="14.85546875" customWidth="1"/>
    <col min="3338" max="3338" width="13" customWidth="1"/>
    <col min="3585" max="3585" width="8.42578125" customWidth="1"/>
    <col min="3586" max="3586" width="53.28515625" customWidth="1"/>
    <col min="3587" max="3587" width="20" customWidth="1"/>
    <col min="3588" max="3588" width="18.5703125" customWidth="1"/>
    <col min="3589" max="3589" width="23.140625" customWidth="1"/>
    <col min="3590" max="3590" width="46.85546875" customWidth="1"/>
    <col min="3591" max="3591" width="46.28515625" customWidth="1"/>
    <col min="3592" max="3592" width="19.5703125" customWidth="1"/>
    <col min="3593" max="3593" width="14.85546875" customWidth="1"/>
    <col min="3594" max="3594" width="13" customWidth="1"/>
    <col min="3841" max="3841" width="8.42578125" customWidth="1"/>
    <col min="3842" max="3842" width="53.28515625" customWidth="1"/>
    <col min="3843" max="3843" width="20" customWidth="1"/>
    <col min="3844" max="3844" width="18.5703125" customWidth="1"/>
    <col min="3845" max="3845" width="23.140625" customWidth="1"/>
    <col min="3846" max="3846" width="46.85546875" customWidth="1"/>
    <col min="3847" max="3847" width="46.28515625" customWidth="1"/>
    <col min="3848" max="3848" width="19.5703125" customWidth="1"/>
    <col min="3849" max="3849" width="14.85546875" customWidth="1"/>
    <col min="3850" max="3850" width="13" customWidth="1"/>
    <col min="4097" max="4097" width="8.42578125" customWidth="1"/>
    <col min="4098" max="4098" width="53.28515625" customWidth="1"/>
    <col min="4099" max="4099" width="20" customWidth="1"/>
    <col min="4100" max="4100" width="18.5703125" customWidth="1"/>
    <col min="4101" max="4101" width="23.140625" customWidth="1"/>
    <col min="4102" max="4102" width="46.85546875" customWidth="1"/>
    <col min="4103" max="4103" width="46.28515625" customWidth="1"/>
    <col min="4104" max="4104" width="19.5703125" customWidth="1"/>
    <col min="4105" max="4105" width="14.85546875" customWidth="1"/>
    <col min="4106" max="4106" width="13" customWidth="1"/>
    <col min="4353" max="4353" width="8.42578125" customWidth="1"/>
    <col min="4354" max="4354" width="53.28515625" customWidth="1"/>
    <col min="4355" max="4355" width="20" customWidth="1"/>
    <col min="4356" max="4356" width="18.5703125" customWidth="1"/>
    <col min="4357" max="4357" width="23.140625" customWidth="1"/>
    <col min="4358" max="4358" width="46.85546875" customWidth="1"/>
    <col min="4359" max="4359" width="46.28515625" customWidth="1"/>
    <col min="4360" max="4360" width="19.5703125" customWidth="1"/>
    <col min="4361" max="4361" width="14.85546875" customWidth="1"/>
    <col min="4362" max="4362" width="13" customWidth="1"/>
    <col min="4609" max="4609" width="8.42578125" customWidth="1"/>
    <col min="4610" max="4610" width="53.28515625" customWidth="1"/>
    <col min="4611" max="4611" width="20" customWidth="1"/>
    <col min="4612" max="4612" width="18.5703125" customWidth="1"/>
    <col min="4613" max="4613" width="23.140625" customWidth="1"/>
    <col min="4614" max="4614" width="46.85546875" customWidth="1"/>
    <col min="4615" max="4615" width="46.28515625" customWidth="1"/>
    <col min="4616" max="4616" width="19.5703125" customWidth="1"/>
    <col min="4617" max="4617" width="14.85546875" customWidth="1"/>
    <col min="4618" max="4618" width="13" customWidth="1"/>
    <col min="4865" max="4865" width="8.42578125" customWidth="1"/>
    <col min="4866" max="4866" width="53.28515625" customWidth="1"/>
    <col min="4867" max="4867" width="20" customWidth="1"/>
    <col min="4868" max="4868" width="18.5703125" customWidth="1"/>
    <col min="4869" max="4869" width="23.140625" customWidth="1"/>
    <col min="4870" max="4870" width="46.85546875" customWidth="1"/>
    <col min="4871" max="4871" width="46.28515625" customWidth="1"/>
    <col min="4872" max="4872" width="19.5703125" customWidth="1"/>
    <col min="4873" max="4873" width="14.85546875" customWidth="1"/>
    <col min="4874" max="4874" width="13" customWidth="1"/>
    <col min="5121" max="5121" width="8.42578125" customWidth="1"/>
    <col min="5122" max="5122" width="53.28515625" customWidth="1"/>
    <col min="5123" max="5123" width="20" customWidth="1"/>
    <col min="5124" max="5124" width="18.5703125" customWidth="1"/>
    <col min="5125" max="5125" width="23.140625" customWidth="1"/>
    <col min="5126" max="5126" width="46.85546875" customWidth="1"/>
    <col min="5127" max="5127" width="46.28515625" customWidth="1"/>
    <col min="5128" max="5128" width="19.5703125" customWidth="1"/>
    <col min="5129" max="5129" width="14.85546875" customWidth="1"/>
    <col min="5130" max="5130" width="13" customWidth="1"/>
    <col min="5377" max="5377" width="8.42578125" customWidth="1"/>
    <col min="5378" max="5378" width="53.28515625" customWidth="1"/>
    <col min="5379" max="5379" width="20" customWidth="1"/>
    <col min="5380" max="5380" width="18.5703125" customWidth="1"/>
    <col min="5381" max="5381" width="23.140625" customWidth="1"/>
    <col min="5382" max="5382" width="46.85546875" customWidth="1"/>
    <col min="5383" max="5383" width="46.28515625" customWidth="1"/>
    <col min="5384" max="5384" width="19.5703125" customWidth="1"/>
    <col min="5385" max="5385" width="14.85546875" customWidth="1"/>
    <col min="5386" max="5386" width="13" customWidth="1"/>
    <col min="5633" max="5633" width="8.42578125" customWidth="1"/>
    <col min="5634" max="5634" width="53.28515625" customWidth="1"/>
    <col min="5635" max="5635" width="20" customWidth="1"/>
    <col min="5636" max="5636" width="18.5703125" customWidth="1"/>
    <col min="5637" max="5637" width="23.140625" customWidth="1"/>
    <col min="5638" max="5638" width="46.85546875" customWidth="1"/>
    <col min="5639" max="5639" width="46.28515625" customWidth="1"/>
    <col min="5640" max="5640" width="19.5703125" customWidth="1"/>
    <col min="5641" max="5641" width="14.85546875" customWidth="1"/>
    <col min="5642" max="5642" width="13" customWidth="1"/>
    <col min="5889" max="5889" width="8.42578125" customWidth="1"/>
    <col min="5890" max="5890" width="53.28515625" customWidth="1"/>
    <col min="5891" max="5891" width="20" customWidth="1"/>
    <col min="5892" max="5892" width="18.5703125" customWidth="1"/>
    <col min="5893" max="5893" width="23.140625" customWidth="1"/>
    <col min="5894" max="5894" width="46.85546875" customWidth="1"/>
    <col min="5895" max="5895" width="46.28515625" customWidth="1"/>
    <col min="5896" max="5896" width="19.5703125" customWidth="1"/>
    <col min="5897" max="5897" width="14.85546875" customWidth="1"/>
    <col min="5898" max="5898" width="13" customWidth="1"/>
    <col min="6145" max="6145" width="8.42578125" customWidth="1"/>
    <col min="6146" max="6146" width="53.28515625" customWidth="1"/>
    <col min="6147" max="6147" width="20" customWidth="1"/>
    <col min="6148" max="6148" width="18.5703125" customWidth="1"/>
    <col min="6149" max="6149" width="23.140625" customWidth="1"/>
    <col min="6150" max="6150" width="46.85546875" customWidth="1"/>
    <col min="6151" max="6151" width="46.28515625" customWidth="1"/>
    <col min="6152" max="6152" width="19.5703125" customWidth="1"/>
    <col min="6153" max="6153" width="14.85546875" customWidth="1"/>
    <col min="6154" max="6154" width="13" customWidth="1"/>
    <col min="6401" max="6401" width="8.42578125" customWidth="1"/>
    <col min="6402" max="6402" width="53.28515625" customWidth="1"/>
    <col min="6403" max="6403" width="20" customWidth="1"/>
    <col min="6404" max="6404" width="18.5703125" customWidth="1"/>
    <col min="6405" max="6405" width="23.140625" customWidth="1"/>
    <col min="6406" max="6406" width="46.85546875" customWidth="1"/>
    <col min="6407" max="6407" width="46.28515625" customWidth="1"/>
    <col min="6408" max="6408" width="19.5703125" customWidth="1"/>
    <col min="6409" max="6409" width="14.85546875" customWidth="1"/>
    <col min="6410" max="6410" width="13" customWidth="1"/>
    <col min="6657" max="6657" width="8.42578125" customWidth="1"/>
    <col min="6658" max="6658" width="53.28515625" customWidth="1"/>
    <col min="6659" max="6659" width="20" customWidth="1"/>
    <col min="6660" max="6660" width="18.5703125" customWidth="1"/>
    <col min="6661" max="6661" width="23.140625" customWidth="1"/>
    <col min="6662" max="6662" width="46.85546875" customWidth="1"/>
    <col min="6663" max="6663" width="46.28515625" customWidth="1"/>
    <col min="6664" max="6664" width="19.5703125" customWidth="1"/>
    <col min="6665" max="6665" width="14.85546875" customWidth="1"/>
    <col min="6666" max="6666" width="13" customWidth="1"/>
    <col min="6913" max="6913" width="8.42578125" customWidth="1"/>
    <col min="6914" max="6914" width="53.28515625" customWidth="1"/>
    <col min="6915" max="6915" width="20" customWidth="1"/>
    <col min="6916" max="6916" width="18.5703125" customWidth="1"/>
    <col min="6917" max="6917" width="23.140625" customWidth="1"/>
    <col min="6918" max="6918" width="46.85546875" customWidth="1"/>
    <col min="6919" max="6919" width="46.28515625" customWidth="1"/>
    <col min="6920" max="6920" width="19.5703125" customWidth="1"/>
    <col min="6921" max="6921" width="14.85546875" customWidth="1"/>
    <col min="6922" max="6922" width="13" customWidth="1"/>
    <col min="7169" max="7169" width="8.42578125" customWidth="1"/>
    <col min="7170" max="7170" width="53.28515625" customWidth="1"/>
    <col min="7171" max="7171" width="20" customWidth="1"/>
    <col min="7172" max="7172" width="18.5703125" customWidth="1"/>
    <col min="7173" max="7173" width="23.140625" customWidth="1"/>
    <col min="7174" max="7174" width="46.85546875" customWidth="1"/>
    <col min="7175" max="7175" width="46.28515625" customWidth="1"/>
    <col min="7176" max="7176" width="19.5703125" customWidth="1"/>
    <col min="7177" max="7177" width="14.85546875" customWidth="1"/>
    <col min="7178" max="7178" width="13" customWidth="1"/>
    <col min="7425" max="7425" width="8.42578125" customWidth="1"/>
    <col min="7426" max="7426" width="53.28515625" customWidth="1"/>
    <col min="7427" max="7427" width="20" customWidth="1"/>
    <col min="7428" max="7428" width="18.5703125" customWidth="1"/>
    <col min="7429" max="7429" width="23.140625" customWidth="1"/>
    <col min="7430" max="7430" width="46.85546875" customWidth="1"/>
    <col min="7431" max="7431" width="46.28515625" customWidth="1"/>
    <col min="7432" max="7432" width="19.5703125" customWidth="1"/>
    <col min="7433" max="7433" width="14.85546875" customWidth="1"/>
    <col min="7434" max="7434" width="13" customWidth="1"/>
    <col min="7681" max="7681" width="8.42578125" customWidth="1"/>
    <col min="7682" max="7682" width="53.28515625" customWidth="1"/>
    <col min="7683" max="7683" width="20" customWidth="1"/>
    <col min="7684" max="7684" width="18.5703125" customWidth="1"/>
    <col min="7685" max="7685" width="23.140625" customWidth="1"/>
    <col min="7686" max="7686" width="46.85546875" customWidth="1"/>
    <col min="7687" max="7687" width="46.28515625" customWidth="1"/>
    <col min="7688" max="7688" width="19.5703125" customWidth="1"/>
    <col min="7689" max="7689" width="14.85546875" customWidth="1"/>
    <col min="7690" max="7690" width="13" customWidth="1"/>
    <col min="7937" max="7937" width="8.42578125" customWidth="1"/>
    <col min="7938" max="7938" width="53.28515625" customWidth="1"/>
    <col min="7939" max="7939" width="20" customWidth="1"/>
    <col min="7940" max="7940" width="18.5703125" customWidth="1"/>
    <col min="7941" max="7941" width="23.140625" customWidth="1"/>
    <col min="7942" max="7942" width="46.85546875" customWidth="1"/>
    <col min="7943" max="7943" width="46.28515625" customWidth="1"/>
    <col min="7944" max="7944" width="19.5703125" customWidth="1"/>
    <col min="7945" max="7945" width="14.85546875" customWidth="1"/>
    <col min="7946" max="7946" width="13" customWidth="1"/>
    <col min="8193" max="8193" width="8.42578125" customWidth="1"/>
    <col min="8194" max="8194" width="53.28515625" customWidth="1"/>
    <col min="8195" max="8195" width="20" customWidth="1"/>
    <col min="8196" max="8196" width="18.5703125" customWidth="1"/>
    <col min="8197" max="8197" width="23.140625" customWidth="1"/>
    <col min="8198" max="8198" width="46.85546875" customWidth="1"/>
    <col min="8199" max="8199" width="46.28515625" customWidth="1"/>
    <col min="8200" max="8200" width="19.5703125" customWidth="1"/>
    <col min="8201" max="8201" width="14.85546875" customWidth="1"/>
    <col min="8202" max="8202" width="13" customWidth="1"/>
    <col min="8449" max="8449" width="8.42578125" customWidth="1"/>
    <col min="8450" max="8450" width="53.28515625" customWidth="1"/>
    <col min="8451" max="8451" width="20" customWidth="1"/>
    <col min="8452" max="8452" width="18.5703125" customWidth="1"/>
    <col min="8453" max="8453" width="23.140625" customWidth="1"/>
    <col min="8454" max="8454" width="46.85546875" customWidth="1"/>
    <col min="8455" max="8455" width="46.28515625" customWidth="1"/>
    <col min="8456" max="8456" width="19.5703125" customWidth="1"/>
    <col min="8457" max="8457" width="14.85546875" customWidth="1"/>
    <col min="8458" max="8458" width="13" customWidth="1"/>
    <col min="8705" max="8705" width="8.42578125" customWidth="1"/>
    <col min="8706" max="8706" width="53.28515625" customWidth="1"/>
    <col min="8707" max="8707" width="20" customWidth="1"/>
    <col min="8708" max="8708" width="18.5703125" customWidth="1"/>
    <col min="8709" max="8709" width="23.140625" customWidth="1"/>
    <col min="8710" max="8710" width="46.85546875" customWidth="1"/>
    <col min="8711" max="8711" width="46.28515625" customWidth="1"/>
    <col min="8712" max="8712" width="19.5703125" customWidth="1"/>
    <col min="8713" max="8713" width="14.85546875" customWidth="1"/>
    <col min="8714" max="8714" width="13" customWidth="1"/>
    <col min="8961" max="8961" width="8.42578125" customWidth="1"/>
    <col min="8962" max="8962" width="53.28515625" customWidth="1"/>
    <col min="8963" max="8963" width="20" customWidth="1"/>
    <col min="8964" max="8964" width="18.5703125" customWidth="1"/>
    <col min="8965" max="8965" width="23.140625" customWidth="1"/>
    <col min="8966" max="8966" width="46.85546875" customWidth="1"/>
    <col min="8967" max="8967" width="46.28515625" customWidth="1"/>
    <col min="8968" max="8968" width="19.5703125" customWidth="1"/>
    <col min="8969" max="8969" width="14.85546875" customWidth="1"/>
    <col min="8970" max="8970" width="13" customWidth="1"/>
    <col min="9217" max="9217" width="8.42578125" customWidth="1"/>
    <col min="9218" max="9218" width="53.28515625" customWidth="1"/>
    <col min="9219" max="9219" width="20" customWidth="1"/>
    <col min="9220" max="9220" width="18.5703125" customWidth="1"/>
    <col min="9221" max="9221" width="23.140625" customWidth="1"/>
    <col min="9222" max="9222" width="46.85546875" customWidth="1"/>
    <col min="9223" max="9223" width="46.28515625" customWidth="1"/>
    <col min="9224" max="9224" width="19.5703125" customWidth="1"/>
    <col min="9225" max="9225" width="14.85546875" customWidth="1"/>
    <col min="9226" max="9226" width="13" customWidth="1"/>
    <col min="9473" max="9473" width="8.42578125" customWidth="1"/>
    <col min="9474" max="9474" width="53.28515625" customWidth="1"/>
    <col min="9475" max="9475" width="20" customWidth="1"/>
    <col min="9476" max="9476" width="18.5703125" customWidth="1"/>
    <col min="9477" max="9477" width="23.140625" customWidth="1"/>
    <col min="9478" max="9478" width="46.85546875" customWidth="1"/>
    <col min="9479" max="9479" width="46.28515625" customWidth="1"/>
    <col min="9480" max="9480" width="19.5703125" customWidth="1"/>
    <col min="9481" max="9481" width="14.85546875" customWidth="1"/>
    <col min="9482" max="9482" width="13" customWidth="1"/>
    <col min="9729" max="9729" width="8.42578125" customWidth="1"/>
    <col min="9730" max="9730" width="53.28515625" customWidth="1"/>
    <col min="9731" max="9731" width="20" customWidth="1"/>
    <col min="9732" max="9732" width="18.5703125" customWidth="1"/>
    <col min="9733" max="9733" width="23.140625" customWidth="1"/>
    <col min="9734" max="9734" width="46.85546875" customWidth="1"/>
    <col min="9735" max="9735" width="46.28515625" customWidth="1"/>
    <col min="9736" max="9736" width="19.5703125" customWidth="1"/>
    <col min="9737" max="9737" width="14.85546875" customWidth="1"/>
    <col min="9738" max="9738" width="13" customWidth="1"/>
    <col min="9985" max="9985" width="8.42578125" customWidth="1"/>
    <col min="9986" max="9986" width="53.28515625" customWidth="1"/>
    <col min="9987" max="9987" width="20" customWidth="1"/>
    <col min="9988" max="9988" width="18.5703125" customWidth="1"/>
    <col min="9989" max="9989" width="23.140625" customWidth="1"/>
    <col min="9990" max="9990" width="46.85546875" customWidth="1"/>
    <col min="9991" max="9991" width="46.28515625" customWidth="1"/>
    <col min="9992" max="9992" width="19.5703125" customWidth="1"/>
    <col min="9993" max="9993" width="14.85546875" customWidth="1"/>
    <col min="9994" max="9994" width="13" customWidth="1"/>
    <col min="10241" max="10241" width="8.42578125" customWidth="1"/>
    <col min="10242" max="10242" width="53.28515625" customWidth="1"/>
    <col min="10243" max="10243" width="20" customWidth="1"/>
    <col min="10244" max="10244" width="18.5703125" customWidth="1"/>
    <col min="10245" max="10245" width="23.140625" customWidth="1"/>
    <col min="10246" max="10246" width="46.85546875" customWidth="1"/>
    <col min="10247" max="10247" width="46.28515625" customWidth="1"/>
    <col min="10248" max="10248" width="19.5703125" customWidth="1"/>
    <col min="10249" max="10249" width="14.85546875" customWidth="1"/>
    <col min="10250" max="10250" width="13" customWidth="1"/>
    <col min="10497" max="10497" width="8.42578125" customWidth="1"/>
    <col min="10498" max="10498" width="53.28515625" customWidth="1"/>
    <col min="10499" max="10499" width="20" customWidth="1"/>
    <col min="10500" max="10500" width="18.5703125" customWidth="1"/>
    <col min="10501" max="10501" width="23.140625" customWidth="1"/>
    <col min="10502" max="10502" width="46.85546875" customWidth="1"/>
    <col min="10503" max="10503" width="46.28515625" customWidth="1"/>
    <col min="10504" max="10504" width="19.5703125" customWidth="1"/>
    <col min="10505" max="10505" width="14.85546875" customWidth="1"/>
    <col min="10506" max="10506" width="13" customWidth="1"/>
    <col min="10753" max="10753" width="8.42578125" customWidth="1"/>
    <col min="10754" max="10754" width="53.28515625" customWidth="1"/>
    <col min="10755" max="10755" width="20" customWidth="1"/>
    <col min="10756" max="10756" width="18.5703125" customWidth="1"/>
    <col min="10757" max="10757" width="23.140625" customWidth="1"/>
    <col min="10758" max="10758" width="46.85546875" customWidth="1"/>
    <col min="10759" max="10759" width="46.28515625" customWidth="1"/>
    <col min="10760" max="10760" width="19.5703125" customWidth="1"/>
    <col min="10761" max="10761" width="14.85546875" customWidth="1"/>
    <col min="10762" max="10762" width="13" customWidth="1"/>
    <col min="11009" max="11009" width="8.42578125" customWidth="1"/>
    <col min="11010" max="11010" width="53.28515625" customWidth="1"/>
    <col min="11011" max="11011" width="20" customWidth="1"/>
    <col min="11012" max="11012" width="18.5703125" customWidth="1"/>
    <col min="11013" max="11013" width="23.140625" customWidth="1"/>
    <col min="11014" max="11014" width="46.85546875" customWidth="1"/>
    <col min="11015" max="11015" width="46.28515625" customWidth="1"/>
    <col min="11016" max="11016" width="19.5703125" customWidth="1"/>
    <col min="11017" max="11017" width="14.85546875" customWidth="1"/>
    <col min="11018" max="11018" width="13" customWidth="1"/>
    <col min="11265" max="11265" width="8.42578125" customWidth="1"/>
    <col min="11266" max="11266" width="53.28515625" customWidth="1"/>
    <col min="11267" max="11267" width="20" customWidth="1"/>
    <col min="11268" max="11268" width="18.5703125" customWidth="1"/>
    <col min="11269" max="11269" width="23.140625" customWidth="1"/>
    <col min="11270" max="11270" width="46.85546875" customWidth="1"/>
    <col min="11271" max="11271" width="46.28515625" customWidth="1"/>
    <col min="11272" max="11272" width="19.5703125" customWidth="1"/>
    <col min="11273" max="11273" width="14.85546875" customWidth="1"/>
    <col min="11274" max="11274" width="13" customWidth="1"/>
    <col min="11521" max="11521" width="8.42578125" customWidth="1"/>
    <col min="11522" max="11522" width="53.28515625" customWidth="1"/>
    <col min="11523" max="11523" width="20" customWidth="1"/>
    <col min="11524" max="11524" width="18.5703125" customWidth="1"/>
    <col min="11525" max="11525" width="23.140625" customWidth="1"/>
    <col min="11526" max="11526" width="46.85546875" customWidth="1"/>
    <col min="11527" max="11527" width="46.28515625" customWidth="1"/>
    <col min="11528" max="11528" width="19.5703125" customWidth="1"/>
    <col min="11529" max="11529" width="14.85546875" customWidth="1"/>
    <col min="11530" max="11530" width="13" customWidth="1"/>
    <col min="11777" max="11777" width="8.42578125" customWidth="1"/>
    <col min="11778" max="11778" width="53.28515625" customWidth="1"/>
    <col min="11779" max="11779" width="20" customWidth="1"/>
    <col min="11780" max="11780" width="18.5703125" customWidth="1"/>
    <col min="11781" max="11781" width="23.140625" customWidth="1"/>
    <col min="11782" max="11782" width="46.85546875" customWidth="1"/>
    <col min="11783" max="11783" width="46.28515625" customWidth="1"/>
    <col min="11784" max="11784" width="19.5703125" customWidth="1"/>
    <col min="11785" max="11785" width="14.85546875" customWidth="1"/>
    <col min="11786" max="11786" width="13" customWidth="1"/>
    <col min="12033" max="12033" width="8.42578125" customWidth="1"/>
    <col min="12034" max="12034" width="53.28515625" customWidth="1"/>
    <col min="12035" max="12035" width="20" customWidth="1"/>
    <col min="12036" max="12036" width="18.5703125" customWidth="1"/>
    <col min="12037" max="12037" width="23.140625" customWidth="1"/>
    <col min="12038" max="12038" width="46.85546875" customWidth="1"/>
    <col min="12039" max="12039" width="46.28515625" customWidth="1"/>
    <col min="12040" max="12040" width="19.5703125" customWidth="1"/>
    <col min="12041" max="12041" width="14.85546875" customWidth="1"/>
    <col min="12042" max="12042" width="13" customWidth="1"/>
    <col min="12289" max="12289" width="8.42578125" customWidth="1"/>
    <col min="12290" max="12290" width="53.28515625" customWidth="1"/>
    <col min="12291" max="12291" width="20" customWidth="1"/>
    <col min="12292" max="12292" width="18.5703125" customWidth="1"/>
    <col min="12293" max="12293" width="23.140625" customWidth="1"/>
    <col min="12294" max="12294" width="46.85546875" customWidth="1"/>
    <col min="12295" max="12295" width="46.28515625" customWidth="1"/>
    <col min="12296" max="12296" width="19.5703125" customWidth="1"/>
    <col min="12297" max="12297" width="14.85546875" customWidth="1"/>
    <col min="12298" max="12298" width="13" customWidth="1"/>
    <col min="12545" max="12545" width="8.42578125" customWidth="1"/>
    <col min="12546" max="12546" width="53.28515625" customWidth="1"/>
    <col min="12547" max="12547" width="20" customWidth="1"/>
    <col min="12548" max="12548" width="18.5703125" customWidth="1"/>
    <col min="12549" max="12549" width="23.140625" customWidth="1"/>
    <col min="12550" max="12550" width="46.85546875" customWidth="1"/>
    <col min="12551" max="12551" width="46.28515625" customWidth="1"/>
    <col min="12552" max="12552" width="19.5703125" customWidth="1"/>
    <col min="12553" max="12553" width="14.85546875" customWidth="1"/>
    <col min="12554" max="12554" width="13" customWidth="1"/>
    <col min="12801" max="12801" width="8.42578125" customWidth="1"/>
    <col min="12802" max="12802" width="53.28515625" customWidth="1"/>
    <col min="12803" max="12803" width="20" customWidth="1"/>
    <col min="12804" max="12804" width="18.5703125" customWidth="1"/>
    <col min="12805" max="12805" width="23.140625" customWidth="1"/>
    <col min="12806" max="12806" width="46.85546875" customWidth="1"/>
    <col min="12807" max="12807" width="46.28515625" customWidth="1"/>
    <col min="12808" max="12808" width="19.5703125" customWidth="1"/>
    <col min="12809" max="12809" width="14.85546875" customWidth="1"/>
    <col min="12810" max="12810" width="13" customWidth="1"/>
    <col min="13057" max="13057" width="8.42578125" customWidth="1"/>
    <col min="13058" max="13058" width="53.28515625" customWidth="1"/>
    <col min="13059" max="13059" width="20" customWidth="1"/>
    <col min="13060" max="13060" width="18.5703125" customWidth="1"/>
    <col min="13061" max="13061" width="23.140625" customWidth="1"/>
    <col min="13062" max="13062" width="46.85546875" customWidth="1"/>
    <col min="13063" max="13063" width="46.28515625" customWidth="1"/>
    <col min="13064" max="13064" width="19.5703125" customWidth="1"/>
    <col min="13065" max="13065" width="14.85546875" customWidth="1"/>
    <col min="13066" max="13066" width="13" customWidth="1"/>
    <col min="13313" max="13313" width="8.42578125" customWidth="1"/>
    <col min="13314" max="13314" width="53.28515625" customWidth="1"/>
    <col min="13315" max="13315" width="20" customWidth="1"/>
    <col min="13316" max="13316" width="18.5703125" customWidth="1"/>
    <col min="13317" max="13317" width="23.140625" customWidth="1"/>
    <col min="13318" max="13318" width="46.85546875" customWidth="1"/>
    <col min="13319" max="13319" width="46.28515625" customWidth="1"/>
    <col min="13320" max="13320" width="19.5703125" customWidth="1"/>
    <col min="13321" max="13321" width="14.85546875" customWidth="1"/>
    <col min="13322" max="13322" width="13" customWidth="1"/>
    <col min="13569" max="13569" width="8.42578125" customWidth="1"/>
    <col min="13570" max="13570" width="53.28515625" customWidth="1"/>
    <col min="13571" max="13571" width="20" customWidth="1"/>
    <col min="13572" max="13572" width="18.5703125" customWidth="1"/>
    <col min="13573" max="13573" width="23.140625" customWidth="1"/>
    <col min="13574" max="13574" width="46.85546875" customWidth="1"/>
    <col min="13575" max="13575" width="46.28515625" customWidth="1"/>
    <col min="13576" max="13576" width="19.5703125" customWidth="1"/>
    <col min="13577" max="13577" width="14.85546875" customWidth="1"/>
    <col min="13578" max="13578" width="13" customWidth="1"/>
    <col min="13825" max="13825" width="8.42578125" customWidth="1"/>
    <col min="13826" max="13826" width="53.28515625" customWidth="1"/>
    <col min="13827" max="13827" width="20" customWidth="1"/>
    <col min="13828" max="13828" width="18.5703125" customWidth="1"/>
    <col min="13829" max="13829" width="23.140625" customWidth="1"/>
    <col min="13830" max="13830" width="46.85546875" customWidth="1"/>
    <col min="13831" max="13831" width="46.28515625" customWidth="1"/>
    <col min="13832" max="13832" width="19.5703125" customWidth="1"/>
    <col min="13833" max="13833" width="14.85546875" customWidth="1"/>
    <col min="13834" max="13834" width="13" customWidth="1"/>
    <col min="14081" max="14081" width="8.42578125" customWidth="1"/>
    <col min="14082" max="14082" width="53.28515625" customWidth="1"/>
    <col min="14083" max="14083" width="20" customWidth="1"/>
    <col min="14084" max="14084" width="18.5703125" customWidth="1"/>
    <col min="14085" max="14085" width="23.140625" customWidth="1"/>
    <col min="14086" max="14086" width="46.85546875" customWidth="1"/>
    <col min="14087" max="14087" width="46.28515625" customWidth="1"/>
    <col min="14088" max="14088" width="19.5703125" customWidth="1"/>
    <col min="14089" max="14089" width="14.85546875" customWidth="1"/>
    <col min="14090" max="14090" width="13" customWidth="1"/>
    <col min="14337" max="14337" width="8.42578125" customWidth="1"/>
    <col min="14338" max="14338" width="53.28515625" customWidth="1"/>
    <col min="14339" max="14339" width="20" customWidth="1"/>
    <col min="14340" max="14340" width="18.5703125" customWidth="1"/>
    <col min="14341" max="14341" width="23.140625" customWidth="1"/>
    <col min="14342" max="14342" width="46.85546875" customWidth="1"/>
    <col min="14343" max="14343" width="46.28515625" customWidth="1"/>
    <col min="14344" max="14344" width="19.5703125" customWidth="1"/>
    <col min="14345" max="14345" width="14.85546875" customWidth="1"/>
    <col min="14346" max="14346" width="13" customWidth="1"/>
    <col min="14593" max="14593" width="8.42578125" customWidth="1"/>
    <col min="14594" max="14594" width="53.28515625" customWidth="1"/>
    <col min="14595" max="14595" width="20" customWidth="1"/>
    <col min="14596" max="14596" width="18.5703125" customWidth="1"/>
    <col min="14597" max="14597" width="23.140625" customWidth="1"/>
    <col min="14598" max="14598" width="46.85546875" customWidth="1"/>
    <col min="14599" max="14599" width="46.28515625" customWidth="1"/>
    <col min="14600" max="14600" width="19.5703125" customWidth="1"/>
    <col min="14601" max="14601" width="14.85546875" customWidth="1"/>
    <col min="14602" max="14602" width="13" customWidth="1"/>
    <col min="14849" max="14849" width="8.42578125" customWidth="1"/>
    <col min="14850" max="14850" width="53.28515625" customWidth="1"/>
    <col min="14851" max="14851" width="20" customWidth="1"/>
    <col min="14852" max="14852" width="18.5703125" customWidth="1"/>
    <col min="14853" max="14853" width="23.140625" customWidth="1"/>
    <col min="14854" max="14854" width="46.85546875" customWidth="1"/>
    <col min="14855" max="14855" width="46.28515625" customWidth="1"/>
    <col min="14856" max="14856" width="19.5703125" customWidth="1"/>
    <col min="14857" max="14857" width="14.85546875" customWidth="1"/>
    <col min="14858" max="14858" width="13" customWidth="1"/>
    <col min="15105" max="15105" width="8.42578125" customWidth="1"/>
    <col min="15106" max="15106" width="53.28515625" customWidth="1"/>
    <col min="15107" max="15107" width="20" customWidth="1"/>
    <col min="15108" max="15108" width="18.5703125" customWidth="1"/>
    <col min="15109" max="15109" width="23.140625" customWidth="1"/>
    <col min="15110" max="15110" width="46.85546875" customWidth="1"/>
    <col min="15111" max="15111" width="46.28515625" customWidth="1"/>
    <col min="15112" max="15112" width="19.5703125" customWidth="1"/>
    <col min="15113" max="15113" width="14.85546875" customWidth="1"/>
    <col min="15114" max="15114" width="13" customWidth="1"/>
    <col min="15361" max="15361" width="8.42578125" customWidth="1"/>
    <col min="15362" max="15362" width="53.28515625" customWidth="1"/>
    <col min="15363" max="15363" width="20" customWidth="1"/>
    <col min="15364" max="15364" width="18.5703125" customWidth="1"/>
    <col min="15365" max="15365" width="23.140625" customWidth="1"/>
    <col min="15366" max="15366" width="46.85546875" customWidth="1"/>
    <col min="15367" max="15367" width="46.28515625" customWidth="1"/>
    <col min="15368" max="15368" width="19.5703125" customWidth="1"/>
    <col min="15369" max="15369" width="14.85546875" customWidth="1"/>
    <col min="15370" max="15370" width="13" customWidth="1"/>
    <col min="15617" max="15617" width="8.42578125" customWidth="1"/>
    <col min="15618" max="15618" width="53.28515625" customWidth="1"/>
    <col min="15619" max="15619" width="20" customWidth="1"/>
    <col min="15620" max="15620" width="18.5703125" customWidth="1"/>
    <col min="15621" max="15621" width="23.140625" customWidth="1"/>
    <col min="15622" max="15622" width="46.85546875" customWidth="1"/>
    <col min="15623" max="15623" width="46.28515625" customWidth="1"/>
    <col min="15624" max="15624" width="19.5703125" customWidth="1"/>
    <col min="15625" max="15625" width="14.85546875" customWidth="1"/>
    <col min="15626" max="15626" width="13" customWidth="1"/>
    <col min="15873" max="15873" width="8.42578125" customWidth="1"/>
    <col min="15874" max="15874" width="53.28515625" customWidth="1"/>
    <col min="15875" max="15875" width="20" customWidth="1"/>
    <col min="15876" max="15876" width="18.5703125" customWidth="1"/>
    <col min="15877" max="15877" width="23.140625" customWidth="1"/>
    <col min="15878" max="15878" width="46.85546875" customWidth="1"/>
    <col min="15879" max="15879" width="46.28515625" customWidth="1"/>
    <col min="15880" max="15880" width="19.5703125" customWidth="1"/>
    <col min="15881" max="15881" width="14.85546875" customWidth="1"/>
    <col min="15882" max="15882" width="13" customWidth="1"/>
    <col min="16129" max="16129" width="8.42578125" customWidth="1"/>
    <col min="16130" max="16130" width="53.28515625" customWidth="1"/>
    <col min="16131" max="16131" width="20" customWidth="1"/>
    <col min="16132" max="16132" width="18.5703125" customWidth="1"/>
    <col min="16133" max="16133" width="23.140625" customWidth="1"/>
    <col min="16134" max="16134" width="46.85546875" customWidth="1"/>
    <col min="16135" max="16135" width="46.28515625" customWidth="1"/>
    <col min="16136" max="16136" width="19.5703125" customWidth="1"/>
    <col min="16137" max="16137" width="14.85546875" customWidth="1"/>
    <col min="16138" max="16138" width="13" customWidth="1"/>
  </cols>
  <sheetData>
    <row r="1" spans="1:7" x14ac:dyDescent="0.25">
      <c r="A1" s="155" t="s">
        <v>184</v>
      </c>
      <c r="B1" s="155"/>
      <c r="C1" s="155"/>
      <c r="D1" s="155"/>
      <c r="E1" s="155"/>
      <c r="F1" s="155"/>
      <c r="G1" s="155"/>
    </row>
    <row r="2" spans="1:7" x14ac:dyDescent="0.25">
      <c r="A2" s="156" t="s">
        <v>185</v>
      </c>
      <c r="B2" s="156"/>
      <c r="C2" s="156"/>
      <c r="D2" s="156"/>
      <c r="E2" s="156"/>
      <c r="F2" s="156"/>
      <c r="G2" s="156"/>
    </row>
    <row r="3" spans="1:7" x14ac:dyDescent="0.25">
      <c r="A3" s="84"/>
      <c r="B3" s="84"/>
      <c r="C3" s="84"/>
      <c r="D3" s="84"/>
      <c r="E3" s="84"/>
      <c r="F3" s="84"/>
      <c r="G3" s="84"/>
    </row>
    <row r="4" spans="1:7" ht="31.5" x14ac:dyDescent="0.25">
      <c r="A4" s="85" t="s">
        <v>186</v>
      </c>
      <c r="B4" s="85" t="s">
        <v>187</v>
      </c>
      <c r="C4" s="85" t="s">
        <v>174</v>
      </c>
      <c r="D4" s="85" t="s">
        <v>188</v>
      </c>
      <c r="E4" s="85" t="s">
        <v>189</v>
      </c>
      <c r="F4" s="85" t="s">
        <v>190</v>
      </c>
      <c r="G4" s="85" t="s">
        <v>191</v>
      </c>
    </row>
    <row r="5" spans="1:7" s="87" customFormat="1" ht="12.75" x14ac:dyDescent="0.2">
      <c r="A5" s="86">
        <v>1</v>
      </c>
      <c r="B5" s="86">
        <v>2</v>
      </c>
      <c r="C5" s="86">
        <v>3</v>
      </c>
      <c r="D5" s="86">
        <v>4</v>
      </c>
      <c r="E5" s="86">
        <v>5</v>
      </c>
      <c r="F5" s="86">
        <v>6</v>
      </c>
      <c r="G5" s="86">
        <v>7</v>
      </c>
    </row>
    <row r="6" spans="1:7" s="89" customFormat="1" ht="47.25" x14ac:dyDescent="0.25">
      <c r="A6" s="65">
        <v>1</v>
      </c>
      <c r="B6" s="92" t="s">
        <v>192</v>
      </c>
      <c r="C6" s="93">
        <v>900</v>
      </c>
      <c r="D6" s="93" t="s">
        <v>193</v>
      </c>
      <c r="E6" s="94" t="s">
        <v>194</v>
      </c>
      <c r="F6" s="93" t="s">
        <v>195</v>
      </c>
      <c r="G6" s="88" t="s">
        <v>196</v>
      </c>
    </row>
    <row r="7" spans="1:7" s="91" customFormat="1" ht="47.25" x14ac:dyDescent="0.25">
      <c r="A7" s="90">
        <v>2</v>
      </c>
      <c r="B7" s="95" t="s">
        <v>197</v>
      </c>
      <c r="C7" s="94">
        <v>167</v>
      </c>
      <c r="D7" s="94" t="s">
        <v>193</v>
      </c>
      <c r="E7" s="94" t="s">
        <v>194</v>
      </c>
      <c r="F7" s="94" t="s">
        <v>195</v>
      </c>
      <c r="G7" s="52" t="s">
        <v>196</v>
      </c>
    </row>
    <row r="8" spans="1:7" x14ac:dyDescent="0.25">
      <c r="B8" s="96"/>
      <c r="C8" s="96"/>
      <c r="D8" s="96"/>
      <c r="E8" s="96"/>
      <c r="F8" s="96"/>
    </row>
  </sheetData>
  <mergeCells count="2">
    <mergeCell ref="A1:G1"/>
    <mergeCell ref="A2:G2"/>
  </mergeCells>
  <pageMargins left="0.7" right="0.7" top="0.75" bottom="0.75" header="0.3" footer="0.3"/>
  <pageSetup paperSize="9" scale="6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7711F-D475-4382-80BF-81067321F0EC}">
  <sheetPr>
    <pageSetUpPr fitToPage="1"/>
  </sheetPr>
  <dimension ref="A1:D10"/>
  <sheetViews>
    <sheetView view="pageBreakPreview" zoomScale="69" zoomScaleNormal="100" zoomScaleSheetLayoutView="69" workbookViewId="0">
      <selection activeCell="D45" sqref="D45"/>
    </sheetView>
  </sheetViews>
  <sheetFormatPr defaultRowHeight="15.75" x14ac:dyDescent="0.25"/>
  <cols>
    <col min="1" max="1" width="10.28515625" style="62" customWidth="1"/>
    <col min="2" max="2" width="68.5703125" style="62" customWidth="1"/>
    <col min="3" max="3" width="30.42578125" style="62" customWidth="1"/>
    <col min="4" max="4" width="62" style="62" customWidth="1"/>
    <col min="5" max="5" width="19.5703125" customWidth="1"/>
    <col min="6" max="6" width="14.85546875" customWidth="1"/>
    <col min="7" max="7" width="13" customWidth="1"/>
    <col min="257" max="257" width="10.28515625" customWidth="1"/>
    <col min="258" max="258" width="68.5703125" customWidth="1"/>
    <col min="259" max="259" width="30.42578125" customWidth="1"/>
    <col min="260" max="260" width="62" customWidth="1"/>
    <col min="261" max="261" width="19.5703125" customWidth="1"/>
    <col min="262" max="262" width="14.85546875" customWidth="1"/>
    <col min="263" max="263" width="13" customWidth="1"/>
    <col min="513" max="513" width="10.28515625" customWidth="1"/>
    <col min="514" max="514" width="68.5703125" customWidth="1"/>
    <col min="515" max="515" width="30.42578125" customWidth="1"/>
    <col min="516" max="516" width="62" customWidth="1"/>
    <col min="517" max="517" width="19.5703125" customWidth="1"/>
    <col min="518" max="518" width="14.85546875" customWidth="1"/>
    <col min="519" max="519" width="13" customWidth="1"/>
    <col min="769" max="769" width="10.28515625" customWidth="1"/>
    <col min="770" max="770" width="68.5703125" customWidth="1"/>
    <col min="771" max="771" width="30.42578125" customWidth="1"/>
    <col min="772" max="772" width="62" customWidth="1"/>
    <col min="773" max="773" width="19.5703125" customWidth="1"/>
    <col min="774" max="774" width="14.85546875" customWidth="1"/>
    <col min="775" max="775" width="13" customWidth="1"/>
    <col min="1025" max="1025" width="10.28515625" customWidth="1"/>
    <col min="1026" max="1026" width="68.5703125" customWidth="1"/>
    <col min="1027" max="1027" width="30.42578125" customWidth="1"/>
    <col min="1028" max="1028" width="62" customWidth="1"/>
    <col min="1029" max="1029" width="19.5703125" customWidth="1"/>
    <col min="1030" max="1030" width="14.85546875" customWidth="1"/>
    <col min="1031" max="1031" width="13" customWidth="1"/>
    <col min="1281" max="1281" width="10.28515625" customWidth="1"/>
    <col min="1282" max="1282" width="68.5703125" customWidth="1"/>
    <col min="1283" max="1283" width="30.42578125" customWidth="1"/>
    <col min="1284" max="1284" width="62" customWidth="1"/>
    <col min="1285" max="1285" width="19.5703125" customWidth="1"/>
    <col min="1286" max="1286" width="14.85546875" customWidth="1"/>
    <col min="1287" max="1287" width="13" customWidth="1"/>
    <col min="1537" max="1537" width="10.28515625" customWidth="1"/>
    <col min="1538" max="1538" width="68.5703125" customWidth="1"/>
    <col min="1539" max="1539" width="30.42578125" customWidth="1"/>
    <col min="1540" max="1540" width="62" customWidth="1"/>
    <col min="1541" max="1541" width="19.5703125" customWidth="1"/>
    <col min="1542" max="1542" width="14.85546875" customWidth="1"/>
    <col min="1543" max="1543" width="13" customWidth="1"/>
    <col min="1793" max="1793" width="10.28515625" customWidth="1"/>
    <col min="1794" max="1794" width="68.5703125" customWidth="1"/>
    <col min="1795" max="1795" width="30.42578125" customWidth="1"/>
    <col min="1796" max="1796" width="62" customWidth="1"/>
    <col min="1797" max="1797" width="19.5703125" customWidth="1"/>
    <col min="1798" max="1798" width="14.85546875" customWidth="1"/>
    <col min="1799" max="1799" width="13" customWidth="1"/>
    <col min="2049" max="2049" width="10.28515625" customWidth="1"/>
    <col min="2050" max="2050" width="68.5703125" customWidth="1"/>
    <col min="2051" max="2051" width="30.42578125" customWidth="1"/>
    <col min="2052" max="2052" width="62" customWidth="1"/>
    <col min="2053" max="2053" width="19.5703125" customWidth="1"/>
    <col min="2054" max="2054" width="14.85546875" customWidth="1"/>
    <col min="2055" max="2055" width="13" customWidth="1"/>
    <col min="2305" max="2305" width="10.28515625" customWidth="1"/>
    <col min="2306" max="2306" width="68.5703125" customWidth="1"/>
    <col min="2307" max="2307" width="30.42578125" customWidth="1"/>
    <col min="2308" max="2308" width="62" customWidth="1"/>
    <col min="2309" max="2309" width="19.5703125" customWidth="1"/>
    <col min="2310" max="2310" width="14.85546875" customWidth="1"/>
    <col min="2311" max="2311" width="13" customWidth="1"/>
    <col min="2561" max="2561" width="10.28515625" customWidth="1"/>
    <col min="2562" max="2562" width="68.5703125" customWidth="1"/>
    <col min="2563" max="2563" width="30.42578125" customWidth="1"/>
    <col min="2564" max="2564" width="62" customWidth="1"/>
    <col min="2565" max="2565" width="19.5703125" customWidth="1"/>
    <col min="2566" max="2566" width="14.85546875" customWidth="1"/>
    <col min="2567" max="2567" width="13" customWidth="1"/>
    <col min="2817" max="2817" width="10.28515625" customWidth="1"/>
    <col min="2818" max="2818" width="68.5703125" customWidth="1"/>
    <col min="2819" max="2819" width="30.42578125" customWidth="1"/>
    <col min="2820" max="2820" width="62" customWidth="1"/>
    <col min="2821" max="2821" width="19.5703125" customWidth="1"/>
    <col min="2822" max="2822" width="14.85546875" customWidth="1"/>
    <col min="2823" max="2823" width="13" customWidth="1"/>
    <col min="3073" max="3073" width="10.28515625" customWidth="1"/>
    <col min="3074" max="3074" width="68.5703125" customWidth="1"/>
    <col min="3075" max="3075" width="30.42578125" customWidth="1"/>
    <col min="3076" max="3076" width="62" customWidth="1"/>
    <col min="3077" max="3077" width="19.5703125" customWidth="1"/>
    <col min="3078" max="3078" width="14.85546875" customWidth="1"/>
    <col min="3079" max="3079" width="13" customWidth="1"/>
    <col min="3329" max="3329" width="10.28515625" customWidth="1"/>
    <col min="3330" max="3330" width="68.5703125" customWidth="1"/>
    <col min="3331" max="3331" width="30.42578125" customWidth="1"/>
    <col min="3332" max="3332" width="62" customWidth="1"/>
    <col min="3333" max="3333" width="19.5703125" customWidth="1"/>
    <col min="3334" max="3334" width="14.85546875" customWidth="1"/>
    <col min="3335" max="3335" width="13" customWidth="1"/>
    <col min="3585" max="3585" width="10.28515625" customWidth="1"/>
    <col min="3586" max="3586" width="68.5703125" customWidth="1"/>
    <col min="3587" max="3587" width="30.42578125" customWidth="1"/>
    <col min="3588" max="3588" width="62" customWidth="1"/>
    <col min="3589" max="3589" width="19.5703125" customWidth="1"/>
    <col min="3590" max="3590" width="14.85546875" customWidth="1"/>
    <col min="3591" max="3591" width="13" customWidth="1"/>
    <col min="3841" max="3841" width="10.28515625" customWidth="1"/>
    <col min="3842" max="3842" width="68.5703125" customWidth="1"/>
    <col min="3843" max="3843" width="30.42578125" customWidth="1"/>
    <col min="3844" max="3844" width="62" customWidth="1"/>
    <col min="3845" max="3845" width="19.5703125" customWidth="1"/>
    <col min="3846" max="3846" width="14.85546875" customWidth="1"/>
    <col min="3847" max="3847" width="13" customWidth="1"/>
    <col min="4097" max="4097" width="10.28515625" customWidth="1"/>
    <col min="4098" max="4098" width="68.5703125" customWidth="1"/>
    <col min="4099" max="4099" width="30.42578125" customWidth="1"/>
    <col min="4100" max="4100" width="62" customWidth="1"/>
    <col min="4101" max="4101" width="19.5703125" customWidth="1"/>
    <col min="4102" max="4102" width="14.85546875" customWidth="1"/>
    <col min="4103" max="4103" width="13" customWidth="1"/>
    <col min="4353" max="4353" width="10.28515625" customWidth="1"/>
    <col min="4354" max="4354" width="68.5703125" customWidth="1"/>
    <col min="4355" max="4355" width="30.42578125" customWidth="1"/>
    <col min="4356" max="4356" width="62" customWidth="1"/>
    <col min="4357" max="4357" width="19.5703125" customWidth="1"/>
    <col min="4358" max="4358" width="14.85546875" customWidth="1"/>
    <col min="4359" max="4359" width="13" customWidth="1"/>
    <col min="4609" max="4609" width="10.28515625" customWidth="1"/>
    <col min="4610" max="4610" width="68.5703125" customWidth="1"/>
    <col min="4611" max="4611" width="30.42578125" customWidth="1"/>
    <col min="4612" max="4612" width="62" customWidth="1"/>
    <col min="4613" max="4613" width="19.5703125" customWidth="1"/>
    <col min="4614" max="4614" width="14.85546875" customWidth="1"/>
    <col min="4615" max="4615" width="13" customWidth="1"/>
    <col min="4865" max="4865" width="10.28515625" customWidth="1"/>
    <col min="4866" max="4866" width="68.5703125" customWidth="1"/>
    <col min="4867" max="4867" width="30.42578125" customWidth="1"/>
    <col min="4868" max="4868" width="62" customWidth="1"/>
    <col min="4869" max="4869" width="19.5703125" customWidth="1"/>
    <col min="4870" max="4870" width="14.85546875" customWidth="1"/>
    <col min="4871" max="4871" width="13" customWidth="1"/>
    <col min="5121" max="5121" width="10.28515625" customWidth="1"/>
    <col min="5122" max="5122" width="68.5703125" customWidth="1"/>
    <col min="5123" max="5123" width="30.42578125" customWidth="1"/>
    <col min="5124" max="5124" width="62" customWidth="1"/>
    <col min="5125" max="5125" width="19.5703125" customWidth="1"/>
    <col min="5126" max="5126" width="14.85546875" customWidth="1"/>
    <col min="5127" max="5127" width="13" customWidth="1"/>
    <col min="5377" max="5377" width="10.28515625" customWidth="1"/>
    <col min="5378" max="5378" width="68.5703125" customWidth="1"/>
    <col min="5379" max="5379" width="30.42578125" customWidth="1"/>
    <col min="5380" max="5380" width="62" customWidth="1"/>
    <col min="5381" max="5381" width="19.5703125" customWidth="1"/>
    <col min="5382" max="5382" width="14.85546875" customWidth="1"/>
    <col min="5383" max="5383" width="13" customWidth="1"/>
    <col min="5633" max="5633" width="10.28515625" customWidth="1"/>
    <col min="5634" max="5634" width="68.5703125" customWidth="1"/>
    <col min="5635" max="5635" width="30.42578125" customWidth="1"/>
    <col min="5636" max="5636" width="62" customWidth="1"/>
    <col min="5637" max="5637" width="19.5703125" customWidth="1"/>
    <col min="5638" max="5638" width="14.85546875" customWidth="1"/>
    <col min="5639" max="5639" width="13" customWidth="1"/>
    <col min="5889" max="5889" width="10.28515625" customWidth="1"/>
    <col min="5890" max="5890" width="68.5703125" customWidth="1"/>
    <col min="5891" max="5891" width="30.42578125" customWidth="1"/>
    <col min="5892" max="5892" width="62" customWidth="1"/>
    <col min="5893" max="5893" width="19.5703125" customWidth="1"/>
    <col min="5894" max="5894" width="14.85546875" customWidth="1"/>
    <col min="5895" max="5895" width="13" customWidth="1"/>
    <col min="6145" max="6145" width="10.28515625" customWidth="1"/>
    <col min="6146" max="6146" width="68.5703125" customWidth="1"/>
    <col min="6147" max="6147" width="30.42578125" customWidth="1"/>
    <col min="6148" max="6148" width="62" customWidth="1"/>
    <col min="6149" max="6149" width="19.5703125" customWidth="1"/>
    <col min="6150" max="6150" width="14.85546875" customWidth="1"/>
    <col min="6151" max="6151" width="13" customWidth="1"/>
    <col min="6401" max="6401" width="10.28515625" customWidth="1"/>
    <col min="6402" max="6402" width="68.5703125" customWidth="1"/>
    <col min="6403" max="6403" width="30.42578125" customWidth="1"/>
    <col min="6404" max="6404" width="62" customWidth="1"/>
    <col min="6405" max="6405" width="19.5703125" customWidth="1"/>
    <col min="6406" max="6406" width="14.85546875" customWidth="1"/>
    <col min="6407" max="6407" width="13" customWidth="1"/>
    <col min="6657" max="6657" width="10.28515625" customWidth="1"/>
    <col min="6658" max="6658" width="68.5703125" customWidth="1"/>
    <col min="6659" max="6659" width="30.42578125" customWidth="1"/>
    <col min="6660" max="6660" width="62" customWidth="1"/>
    <col min="6661" max="6661" width="19.5703125" customWidth="1"/>
    <col min="6662" max="6662" width="14.85546875" customWidth="1"/>
    <col min="6663" max="6663" width="13" customWidth="1"/>
    <col min="6913" max="6913" width="10.28515625" customWidth="1"/>
    <col min="6914" max="6914" width="68.5703125" customWidth="1"/>
    <col min="6915" max="6915" width="30.42578125" customWidth="1"/>
    <col min="6916" max="6916" width="62" customWidth="1"/>
    <col min="6917" max="6917" width="19.5703125" customWidth="1"/>
    <col min="6918" max="6918" width="14.85546875" customWidth="1"/>
    <col min="6919" max="6919" width="13" customWidth="1"/>
    <col min="7169" max="7169" width="10.28515625" customWidth="1"/>
    <col min="7170" max="7170" width="68.5703125" customWidth="1"/>
    <col min="7171" max="7171" width="30.42578125" customWidth="1"/>
    <col min="7172" max="7172" width="62" customWidth="1"/>
    <col min="7173" max="7173" width="19.5703125" customWidth="1"/>
    <col min="7174" max="7174" width="14.85546875" customWidth="1"/>
    <col min="7175" max="7175" width="13" customWidth="1"/>
    <col min="7425" max="7425" width="10.28515625" customWidth="1"/>
    <col min="7426" max="7426" width="68.5703125" customWidth="1"/>
    <col min="7427" max="7427" width="30.42578125" customWidth="1"/>
    <col min="7428" max="7428" width="62" customWidth="1"/>
    <col min="7429" max="7429" width="19.5703125" customWidth="1"/>
    <col min="7430" max="7430" width="14.85546875" customWidth="1"/>
    <col min="7431" max="7431" width="13" customWidth="1"/>
    <col min="7681" max="7681" width="10.28515625" customWidth="1"/>
    <col min="7682" max="7682" width="68.5703125" customWidth="1"/>
    <col min="7683" max="7683" width="30.42578125" customWidth="1"/>
    <col min="7684" max="7684" width="62" customWidth="1"/>
    <col min="7685" max="7685" width="19.5703125" customWidth="1"/>
    <col min="7686" max="7686" width="14.85546875" customWidth="1"/>
    <col min="7687" max="7687" width="13" customWidth="1"/>
    <col min="7937" max="7937" width="10.28515625" customWidth="1"/>
    <col min="7938" max="7938" width="68.5703125" customWidth="1"/>
    <col min="7939" max="7939" width="30.42578125" customWidth="1"/>
    <col min="7940" max="7940" width="62" customWidth="1"/>
    <col min="7941" max="7941" width="19.5703125" customWidth="1"/>
    <col min="7942" max="7942" width="14.85546875" customWidth="1"/>
    <col min="7943" max="7943" width="13" customWidth="1"/>
    <col min="8193" max="8193" width="10.28515625" customWidth="1"/>
    <col min="8194" max="8194" width="68.5703125" customWidth="1"/>
    <col min="8195" max="8195" width="30.42578125" customWidth="1"/>
    <col min="8196" max="8196" width="62" customWidth="1"/>
    <col min="8197" max="8197" width="19.5703125" customWidth="1"/>
    <col min="8198" max="8198" width="14.85546875" customWidth="1"/>
    <col min="8199" max="8199" width="13" customWidth="1"/>
    <col min="8449" max="8449" width="10.28515625" customWidth="1"/>
    <col min="8450" max="8450" width="68.5703125" customWidth="1"/>
    <col min="8451" max="8451" width="30.42578125" customWidth="1"/>
    <col min="8452" max="8452" width="62" customWidth="1"/>
    <col min="8453" max="8453" width="19.5703125" customWidth="1"/>
    <col min="8454" max="8454" width="14.85546875" customWidth="1"/>
    <col min="8455" max="8455" width="13" customWidth="1"/>
    <col min="8705" max="8705" width="10.28515625" customWidth="1"/>
    <col min="8706" max="8706" width="68.5703125" customWidth="1"/>
    <col min="8707" max="8707" width="30.42578125" customWidth="1"/>
    <col min="8708" max="8708" width="62" customWidth="1"/>
    <col min="8709" max="8709" width="19.5703125" customWidth="1"/>
    <col min="8710" max="8710" width="14.85546875" customWidth="1"/>
    <col min="8711" max="8711" width="13" customWidth="1"/>
    <col min="8961" max="8961" width="10.28515625" customWidth="1"/>
    <col min="8962" max="8962" width="68.5703125" customWidth="1"/>
    <col min="8963" max="8963" width="30.42578125" customWidth="1"/>
    <col min="8964" max="8964" width="62" customWidth="1"/>
    <col min="8965" max="8965" width="19.5703125" customWidth="1"/>
    <col min="8966" max="8966" width="14.85546875" customWidth="1"/>
    <col min="8967" max="8967" width="13" customWidth="1"/>
    <col min="9217" max="9217" width="10.28515625" customWidth="1"/>
    <col min="9218" max="9218" width="68.5703125" customWidth="1"/>
    <col min="9219" max="9219" width="30.42578125" customWidth="1"/>
    <col min="9220" max="9220" width="62" customWidth="1"/>
    <col min="9221" max="9221" width="19.5703125" customWidth="1"/>
    <col min="9222" max="9222" width="14.85546875" customWidth="1"/>
    <col min="9223" max="9223" width="13" customWidth="1"/>
    <col min="9473" max="9473" width="10.28515625" customWidth="1"/>
    <col min="9474" max="9474" width="68.5703125" customWidth="1"/>
    <col min="9475" max="9475" width="30.42578125" customWidth="1"/>
    <col min="9476" max="9476" width="62" customWidth="1"/>
    <col min="9477" max="9477" width="19.5703125" customWidth="1"/>
    <col min="9478" max="9478" width="14.85546875" customWidth="1"/>
    <col min="9479" max="9479" width="13" customWidth="1"/>
    <col min="9729" max="9729" width="10.28515625" customWidth="1"/>
    <col min="9730" max="9730" width="68.5703125" customWidth="1"/>
    <col min="9731" max="9731" width="30.42578125" customWidth="1"/>
    <col min="9732" max="9732" width="62" customWidth="1"/>
    <col min="9733" max="9733" width="19.5703125" customWidth="1"/>
    <col min="9734" max="9734" width="14.85546875" customWidth="1"/>
    <col min="9735" max="9735" width="13" customWidth="1"/>
    <col min="9985" max="9985" width="10.28515625" customWidth="1"/>
    <col min="9986" max="9986" width="68.5703125" customWidth="1"/>
    <col min="9987" max="9987" width="30.42578125" customWidth="1"/>
    <col min="9988" max="9988" width="62" customWidth="1"/>
    <col min="9989" max="9989" width="19.5703125" customWidth="1"/>
    <col min="9990" max="9990" width="14.85546875" customWidth="1"/>
    <col min="9991" max="9991" width="13" customWidth="1"/>
    <col min="10241" max="10241" width="10.28515625" customWidth="1"/>
    <col min="10242" max="10242" width="68.5703125" customWidth="1"/>
    <col min="10243" max="10243" width="30.42578125" customWidth="1"/>
    <col min="10244" max="10244" width="62" customWidth="1"/>
    <col min="10245" max="10245" width="19.5703125" customWidth="1"/>
    <col min="10246" max="10246" width="14.85546875" customWidth="1"/>
    <col min="10247" max="10247" width="13" customWidth="1"/>
    <col min="10497" max="10497" width="10.28515625" customWidth="1"/>
    <col min="10498" max="10498" width="68.5703125" customWidth="1"/>
    <col min="10499" max="10499" width="30.42578125" customWidth="1"/>
    <col min="10500" max="10500" width="62" customWidth="1"/>
    <col min="10501" max="10501" width="19.5703125" customWidth="1"/>
    <col min="10502" max="10502" width="14.85546875" customWidth="1"/>
    <col min="10503" max="10503" width="13" customWidth="1"/>
    <col min="10753" max="10753" width="10.28515625" customWidth="1"/>
    <col min="10754" max="10754" width="68.5703125" customWidth="1"/>
    <col min="10755" max="10755" width="30.42578125" customWidth="1"/>
    <col min="10756" max="10756" width="62" customWidth="1"/>
    <col min="10757" max="10757" width="19.5703125" customWidth="1"/>
    <col min="10758" max="10758" width="14.85546875" customWidth="1"/>
    <col min="10759" max="10759" width="13" customWidth="1"/>
    <col min="11009" max="11009" width="10.28515625" customWidth="1"/>
    <col min="11010" max="11010" width="68.5703125" customWidth="1"/>
    <col min="11011" max="11011" width="30.42578125" customWidth="1"/>
    <col min="11012" max="11012" width="62" customWidth="1"/>
    <col min="11013" max="11013" width="19.5703125" customWidth="1"/>
    <col min="11014" max="11014" width="14.85546875" customWidth="1"/>
    <col min="11015" max="11015" width="13" customWidth="1"/>
    <col min="11265" max="11265" width="10.28515625" customWidth="1"/>
    <col min="11266" max="11266" width="68.5703125" customWidth="1"/>
    <col min="11267" max="11267" width="30.42578125" customWidth="1"/>
    <col min="11268" max="11268" width="62" customWidth="1"/>
    <col min="11269" max="11269" width="19.5703125" customWidth="1"/>
    <col min="11270" max="11270" width="14.85546875" customWidth="1"/>
    <col min="11271" max="11271" width="13" customWidth="1"/>
    <col min="11521" max="11521" width="10.28515625" customWidth="1"/>
    <col min="11522" max="11522" width="68.5703125" customWidth="1"/>
    <col min="11523" max="11523" width="30.42578125" customWidth="1"/>
    <col min="11524" max="11524" width="62" customWidth="1"/>
    <col min="11525" max="11525" width="19.5703125" customWidth="1"/>
    <col min="11526" max="11526" width="14.85546875" customWidth="1"/>
    <col min="11527" max="11527" width="13" customWidth="1"/>
    <col min="11777" max="11777" width="10.28515625" customWidth="1"/>
    <col min="11778" max="11778" width="68.5703125" customWidth="1"/>
    <col min="11779" max="11779" width="30.42578125" customWidth="1"/>
    <col min="11780" max="11780" width="62" customWidth="1"/>
    <col min="11781" max="11781" width="19.5703125" customWidth="1"/>
    <col min="11782" max="11782" width="14.85546875" customWidth="1"/>
    <col min="11783" max="11783" width="13" customWidth="1"/>
    <col min="12033" max="12033" width="10.28515625" customWidth="1"/>
    <col min="12034" max="12034" width="68.5703125" customWidth="1"/>
    <col min="12035" max="12035" width="30.42578125" customWidth="1"/>
    <col min="12036" max="12036" width="62" customWidth="1"/>
    <col min="12037" max="12037" width="19.5703125" customWidth="1"/>
    <col min="12038" max="12038" width="14.85546875" customWidth="1"/>
    <col min="12039" max="12039" width="13" customWidth="1"/>
    <col min="12289" max="12289" width="10.28515625" customWidth="1"/>
    <col min="12290" max="12290" width="68.5703125" customWidth="1"/>
    <col min="12291" max="12291" width="30.42578125" customWidth="1"/>
    <col min="12292" max="12292" width="62" customWidth="1"/>
    <col min="12293" max="12293" width="19.5703125" customWidth="1"/>
    <col min="12294" max="12294" width="14.85546875" customWidth="1"/>
    <col min="12295" max="12295" width="13" customWidth="1"/>
    <col min="12545" max="12545" width="10.28515625" customWidth="1"/>
    <col min="12546" max="12546" width="68.5703125" customWidth="1"/>
    <col min="12547" max="12547" width="30.42578125" customWidth="1"/>
    <col min="12548" max="12548" width="62" customWidth="1"/>
    <col min="12549" max="12549" width="19.5703125" customWidth="1"/>
    <col min="12550" max="12550" width="14.85546875" customWidth="1"/>
    <col min="12551" max="12551" width="13" customWidth="1"/>
    <col min="12801" max="12801" width="10.28515625" customWidth="1"/>
    <col min="12802" max="12802" width="68.5703125" customWidth="1"/>
    <col min="12803" max="12803" width="30.42578125" customWidth="1"/>
    <col min="12804" max="12804" width="62" customWidth="1"/>
    <col min="12805" max="12805" width="19.5703125" customWidth="1"/>
    <col min="12806" max="12806" width="14.85546875" customWidth="1"/>
    <col min="12807" max="12807" width="13" customWidth="1"/>
    <col min="13057" max="13057" width="10.28515625" customWidth="1"/>
    <col min="13058" max="13058" width="68.5703125" customWidth="1"/>
    <col min="13059" max="13059" width="30.42578125" customWidth="1"/>
    <col min="13060" max="13060" width="62" customWidth="1"/>
    <col min="13061" max="13061" width="19.5703125" customWidth="1"/>
    <col min="13062" max="13062" width="14.85546875" customWidth="1"/>
    <col min="13063" max="13063" width="13" customWidth="1"/>
    <col min="13313" max="13313" width="10.28515625" customWidth="1"/>
    <col min="13314" max="13314" width="68.5703125" customWidth="1"/>
    <col min="13315" max="13315" width="30.42578125" customWidth="1"/>
    <col min="13316" max="13316" width="62" customWidth="1"/>
    <col min="13317" max="13317" width="19.5703125" customWidth="1"/>
    <col min="13318" max="13318" width="14.85546875" customWidth="1"/>
    <col min="13319" max="13319" width="13" customWidth="1"/>
    <col min="13569" max="13569" width="10.28515625" customWidth="1"/>
    <col min="13570" max="13570" width="68.5703125" customWidth="1"/>
    <col min="13571" max="13571" width="30.42578125" customWidth="1"/>
    <col min="13572" max="13572" width="62" customWidth="1"/>
    <col min="13573" max="13573" width="19.5703125" customWidth="1"/>
    <col min="13574" max="13574" width="14.85546875" customWidth="1"/>
    <col min="13575" max="13575" width="13" customWidth="1"/>
    <col min="13825" max="13825" width="10.28515625" customWidth="1"/>
    <col min="13826" max="13826" width="68.5703125" customWidth="1"/>
    <col min="13827" max="13827" width="30.42578125" customWidth="1"/>
    <col min="13828" max="13828" width="62" customWidth="1"/>
    <col min="13829" max="13829" width="19.5703125" customWidth="1"/>
    <col min="13830" max="13830" width="14.85546875" customWidth="1"/>
    <col min="13831" max="13831" width="13" customWidth="1"/>
    <col min="14081" max="14081" width="10.28515625" customWidth="1"/>
    <col min="14082" max="14082" width="68.5703125" customWidth="1"/>
    <col min="14083" max="14083" width="30.42578125" customWidth="1"/>
    <col min="14084" max="14084" width="62" customWidth="1"/>
    <col min="14085" max="14085" width="19.5703125" customWidth="1"/>
    <col min="14086" max="14086" width="14.85546875" customWidth="1"/>
    <col min="14087" max="14087" width="13" customWidth="1"/>
    <col min="14337" max="14337" width="10.28515625" customWidth="1"/>
    <col min="14338" max="14338" width="68.5703125" customWidth="1"/>
    <col min="14339" max="14339" width="30.42578125" customWidth="1"/>
    <col min="14340" max="14340" width="62" customWidth="1"/>
    <col min="14341" max="14341" width="19.5703125" customWidth="1"/>
    <col min="14342" max="14342" width="14.85546875" customWidth="1"/>
    <col min="14343" max="14343" width="13" customWidth="1"/>
    <col min="14593" max="14593" width="10.28515625" customWidth="1"/>
    <col min="14594" max="14594" width="68.5703125" customWidth="1"/>
    <col min="14595" max="14595" width="30.42578125" customWidth="1"/>
    <col min="14596" max="14596" width="62" customWidth="1"/>
    <col min="14597" max="14597" width="19.5703125" customWidth="1"/>
    <col min="14598" max="14598" width="14.85546875" customWidth="1"/>
    <col min="14599" max="14599" width="13" customWidth="1"/>
    <col min="14849" max="14849" width="10.28515625" customWidth="1"/>
    <col min="14850" max="14850" width="68.5703125" customWidth="1"/>
    <col min="14851" max="14851" width="30.42578125" customWidth="1"/>
    <col min="14852" max="14852" width="62" customWidth="1"/>
    <col min="14853" max="14853" width="19.5703125" customWidth="1"/>
    <col min="14854" max="14854" width="14.85546875" customWidth="1"/>
    <col min="14855" max="14855" width="13" customWidth="1"/>
    <col min="15105" max="15105" width="10.28515625" customWidth="1"/>
    <col min="15106" max="15106" width="68.5703125" customWidth="1"/>
    <col min="15107" max="15107" width="30.42578125" customWidth="1"/>
    <col min="15108" max="15108" width="62" customWidth="1"/>
    <col min="15109" max="15109" width="19.5703125" customWidth="1"/>
    <col min="15110" max="15110" width="14.85546875" customWidth="1"/>
    <col min="15111" max="15111" width="13" customWidth="1"/>
    <col min="15361" max="15361" width="10.28515625" customWidth="1"/>
    <col min="15362" max="15362" width="68.5703125" customWidth="1"/>
    <col min="15363" max="15363" width="30.42578125" customWidth="1"/>
    <col min="15364" max="15364" width="62" customWidth="1"/>
    <col min="15365" max="15365" width="19.5703125" customWidth="1"/>
    <col min="15366" max="15366" width="14.85546875" customWidth="1"/>
    <col min="15367" max="15367" width="13" customWidth="1"/>
    <col min="15617" max="15617" width="10.28515625" customWidth="1"/>
    <col min="15618" max="15618" width="68.5703125" customWidth="1"/>
    <col min="15619" max="15619" width="30.42578125" customWidth="1"/>
    <col min="15620" max="15620" width="62" customWidth="1"/>
    <col min="15621" max="15621" width="19.5703125" customWidth="1"/>
    <col min="15622" max="15622" width="14.85546875" customWidth="1"/>
    <col min="15623" max="15623" width="13" customWidth="1"/>
    <col min="15873" max="15873" width="10.28515625" customWidth="1"/>
    <col min="15874" max="15874" width="68.5703125" customWidth="1"/>
    <col min="15875" max="15875" width="30.42578125" customWidth="1"/>
    <col min="15876" max="15876" width="62" customWidth="1"/>
    <col min="15877" max="15877" width="19.5703125" customWidth="1"/>
    <col min="15878" max="15878" width="14.85546875" customWidth="1"/>
    <col min="15879" max="15879" width="13" customWidth="1"/>
    <col min="16129" max="16129" width="10.28515625" customWidth="1"/>
    <col min="16130" max="16130" width="68.5703125" customWidth="1"/>
    <col min="16131" max="16131" width="30.42578125" customWidth="1"/>
    <col min="16132" max="16132" width="62" customWidth="1"/>
    <col min="16133" max="16133" width="19.5703125" customWidth="1"/>
    <col min="16134" max="16134" width="14.85546875" customWidth="1"/>
    <col min="16135" max="16135" width="13" customWidth="1"/>
  </cols>
  <sheetData>
    <row r="1" spans="1:4" x14ac:dyDescent="0.25">
      <c r="A1" s="155" t="s">
        <v>198</v>
      </c>
      <c r="B1" s="155"/>
      <c r="C1" s="155"/>
      <c r="D1" s="155"/>
    </row>
    <row r="2" spans="1:4" x14ac:dyDescent="0.25">
      <c r="A2" s="156" t="s">
        <v>199</v>
      </c>
      <c r="B2" s="156"/>
      <c r="C2" s="156"/>
      <c r="D2" s="156"/>
    </row>
    <row r="3" spans="1:4" x14ac:dyDescent="0.25">
      <c r="A3" s="156" t="s">
        <v>200</v>
      </c>
      <c r="B3" s="156"/>
      <c r="C3" s="156"/>
      <c r="D3" s="156"/>
    </row>
    <row r="4" spans="1:4" x14ac:dyDescent="0.25">
      <c r="A4" s="156" t="s">
        <v>201</v>
      </c>
      <c r="B4" s="156"/>
      <c r="C4" s="156"/>
      <c r="D4" s="156"/>
    </row>
    <row r="5" spans="1:4" x14ac:dyDescent="0.25">
      <c r="A5" s="84"/>
      <c r="B5" s="84"/>
      <c r="C5" s="84"/>
      <c r="D5" s="84"/>
    </row>
    <row r="6" spans="1:4" ht="47.25" x14ac:dyDescent="0.25">
      <c r="A6" s="85" t="s">
        <v>186</v>
      </c>
      <c r="B6" s="85" t="s">
        <v>202</v>
      </c>
      <c r="C6" s="85" t="s">
        <v>203</v>
      </c>
      <c r="D6" s="85" t="s">
        <v>204</v>
      </c>
    </row>
    <row r="7" spans="1:4" s="87" customFormat="1" ht="12.75" x14ac:dyDescent="0.2">
      <c r="A7" s="86">
        <v>1</v>
      </c>
      <c r="B7" s="86">
        <v>2</v>
      </c>
      <c r="C7" s="86">
        <v>3</v>
      </c>
      <c r="D7" s="86">
        <v>4</v>
      </c>
    </row>
    <row r="8" spans="1:4" s="89" customFormat="1" x14ac:dyDescent="0.25">
      <c r="A8" s="97"/>
      <c r="B8" s="72"/>
      <c r="C8" s="63"/>
      <c r="D8" s="63"/>
    </row>
    <row r="9" spans="1:4" s="89" customFormat="1" x14ac:dyDescent="0.25">
      <c r="A9" s="97"/>
      <c r="B9" s="72"/>
      <c r="C9" s="63"/>
      <c r="D9" s="63"/>
    </row>
    <row r="10" spans="1:4" s="89" customFormat="1" x14ac:dyDescent="0.25">
      <c r="A10" s="97"/>
      <c r="B10" s="72"/>
      <c r="C10" s="63"/>
      <c r="D10" s="63"/>
    </row>
  </sheetData>
  <mergeCells count="4">
    <mergeCell ref="A1:D1"/>
    <mergeCell ref="A2:D2"/>
    <mergeCell ref="A3:D3"/>
    <mergeCell ref="A4:D4"/>
  </mergeCells>
  <pageMargins left="0.7" right="0.7" top="0.75" bottom="0.75" header="0.3" footer="0.3"/>
  <pageSetup paperSize="9" scale="7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C24C4-34B9-47E7-B86F-1674B85850D3}">
  <sheetPr>
    <pageSetUpPr fitToPage="1"/>
  </sheetPr>
  <dimension ref="A1:K11"/>
  <sheetViews>
    <sheetView view="pageBreakPreview" zoomScale="69" zoomScaleNormal="100" zoomScaleSheetLayoutView="69" workbookViewId="0">
      <selection activeCell="O36" sqref="O36"/>
    </sheetView>
  </sheetViews>
  <sheetFormatPr defaultRowHeight="15.75" x14ac:dyDescent="0.25"/>
  <cols>
    <col min="1" max="1" width="8.28515625" style="62" customWidth="1"/>
    <col min="2" max="2" width="33.85546875" style="62" customWidth="1"/>
    <col min="3" max="3" width="22.7109375" style="62" customWidth="1"/>
    <col min="4" max="4" width="18.5703125" style="62" customWidth="1"/>
    <col min="5" max="5" width="23.140625" style="62" customWidth="1"/>
    <col min="6" max="6" width="11" style="62" customWidth="1"/>
    <col min="7" max="7" width="11.28515625" style="62" customWidth="1"/>
    <col min="8" max="10" width="12" style="62" customWidth="1"/>
    <col min="11" max="11" width="17.28515625" style="62" customWidth="1"/>
    <col min="12" max="12" width="19.5703125" customWidth="1"/>
    <col min="13" max="13" width="14.85546875" customWidth="1"/>
    <col min="14" max="14" width="13" customWidth="1"/>
    <col min="257" max="257" width="8.28515625" customWidth="1"/>
    <col min="258" max="258" width="33.85546875" customWidth="1"/>
    <col min="259" max="259" width="22.7109375" customWidth="1"/>
    <col min="260" max="260" width="18.5703125" customWidth="1"/>
    <col min="261" max="261" width="23.140625" customWidth="1"/>
    <col min="262" max="262" width="11" customWidth="1"/>
    <col min="263" max="263" width="11.28515625" customWidth="1"/>
    <col min="264" max="266" width="12" customWidth="1"/>
    <col min="267" max="267" width="17.28515625" customWidth="1"/>
    <col min="268" max="268" width="19.5703125" customWidth="1"/>
    <col min="269" max="269" width="14.85546875" customWidth="1"/>
    <col min="270" max="270" width="13" customWidth="1"/>
    <col min="513" max="513" width="8.28515625" customWidth="1"/>
    <col min="514" max="514" width="33.85546875" customWidth="1"/>
    <col min="515" max="515" width="22.7109375" customWidth="1"/>
    <col min="516" max="516" width="18.5703125" customWidth="1"/>
    <col min="517" max="517" width="23.140625" customWidth="1"/>
    <col min="518" max="518" width="11" customWidth="1"/>
    <col min="519" max="519" width="11.28515625" customWidth="1"/>
    <col min="520" max="522" width="12" customWidth="1"/>
    <col min="523" max="523" width="17.28515625" customWidth="1"/>
    <col min="524" max="524" width="19.5703125" customWidth="1"/>
    <col min="525" max="525" width="14.85546875" customWidth="1"/>
    <col min="526" max="526" width="13" customWidth="1"/>
    <col min="769" max="769" width="8.28515625" customWidth="1"/>
    <col min="770" max="770" width="33.85546875" customWidth="1"/>
    <col min="771" max="771" width="22.7109375" customWidth="1"/>
    <col min="772" max="772" width="18.5703125" customWidth="1"/>
    <col min="773" max="773" width="23.140625" customWidth="1"/>
    <col min="774" max="774" width="11" customWidth="1"/>
    <col min="775" max="775" width="11.28515625" customWidth="1"/>
    <col min="776" max="778" width="12" customWidth="1"/>
    <col min="779" max="779" width="17.28515625" customWidth="1"/>
    <col min="780" max="780" width="19.5703125" customWidth="1"/>
    <col min="781" max="781" width="14.85546875" customWidth="1"/>
    <col min="782" max="782" width="13" customWidth="1"/>
    <col min="1025" max="1025" width="8.28515625" customWidth="1"/>
    <col min="1026" max="1026" width="33.85546875" customWidth="1"/>
    <col min="1027" max="1027" width="22.7109375" customWidth="1"/>
    <col min="1028" max="1028" width="18.5703125" customWidth="1"/>
    <col min="1029" max="1029" width="23.140625" customWidth="1"/>
    <col min="1030" max="1030" width="11" customWidth="1"/>
    <col min="1031" max="1031" width="11.28515625" customWidth="1"/>
    <col min="1032" max="1034" width="12" customWidth="1"/>
    <col min="1035" max="1035" width="17.28515625" customWidth="1"/>
    <col min="1036" max="1036" width="19.5703125" customWidth="1"/>
    <col min="1037" max="1037" width="14.85546875" customWidth="1"/>
    <col min="1038" max="1038" width="13" customWidth="1"/>
    <col min="1281" max="1281" width="8.28515625" customWidth="1"/>
    <col min="1282" max="1282" width="33.85546875" customWidth="1"/>
    <col min="1283" max="1283" width="22.7109375" customWidth="1"/>
    <col min="1284" max="1284" width="18.5703125" customWidth="1"/>
    <col min="1285" max="1285" width="23.140625" customWidth="1"/>
    <col min="1286" max="1286" width="11" customWidth="1"/>
    <col min="1287" max="1287" width="11.28515625" customWidth="1"/>
    <col min="1288" max="1290" width="12" customWidth="1"/>
    <col min="1291" max="1291" width="17.28515625" customWidth="1"/>
    <col min="1292" max="1292" width="19.5703125" customWidth="1"/>
    <col min="1293" max="1293" width="14.85546875" customWidth="1"/>
    <col min="1294" max="1294" width="13" customWidth="1"/>
    <col min="1537" max="1537" width="8.28515625" customWidth="1"/>
    <col min="1538" max="1538" width="33.85546875" customWidth="1"/>
    <col min="1539" max="1539" width="22.7109375" customWidth="1"/>
    <col min="1540" max="1540" width="18.5703125" customWidth="1"/>
    <col min="1541" max="1541" width="23.140625" customWidth="1"/>
    <col min="1542" max="1542" width="11" customWidth="1"/>
    <col min="1543" max="1543" width="11.28515625" customWidth="1"/>
    <col min="1544" max="1546" width="12" customWidth="1"/>
    <col min="1547" max="1547" width="17.28515625" customWidth="1"/>
    <col min="1548" max="1548" width="19.5703125" customWidth="1"/>
    <col min="1549" max="1549" width="14.85546875" customWidth="1"/>
    <col min="1550" max="1550" width="13" customWidth="1"/>
    <col min="1793" max="1793" width="8.28515625" customWidth="1"/>
    <col min="1794" max="1794" width="33.85546875" customWidth="1"/>
    <col min="1795" max="1795" width="22.7109375" customWidth="1"/>
    <col min="1796" max="1796" width="18.5703125" customWidth="1"/>
    <col min="1797" max="1797" width="23.140625" customWidth="1"/>
    <col min="1798" max="1798" width="11" customWidth="1"/>
    <col min="1799" max="1799" width="11.28515625" customWidth="1"/>
    <col min="1800" max="1802" width="12" customWidth="1"/>
    <col min="1803" max="1803" width="17.28515625" customWidth="1"/>
    <col min="1804" max="1804" width="19.5703125" customWidth="1"/>
    <col min="1805" max="1805" width="14.85546875" customWidth="1"/>
    <col min="1806" max="1806" width="13" customWidth="1"/>
    <col min="2049" max="2049" width="8.28515625" customWidth="1"/>
    <col min="2050" max="2050" width="33.85546875" customWidth="1"/>
    <col min="2051" max="2051" width="22.7109375" customWidth="1"/>
    <col min="2052" max="2052" width="18.5703125" customWidth="1"/>
    <col min="2053" max="2053" width="23.140625" customWidth="1"/>
    <col min="2054" max="2054" width="11" customWidth="1"/>
    <col min="2055" max="2055" width="11.28515625" customWidth="1"/>
    <col min="2056" max="2058" width="12" customWidth="1"/>
    <col min="2059" max="2059" width="17.28515625" customWidth="1"/>
    <col min="2060" max="2060" width="19.5703125" customWidth="1"/>
    <col min="2061" max="2061" width="14.85546875" customWidth="1"/>
    <col min="2062" max="2062" width="13" customWidth="1"/>
    <col min="2305" max="2305" width="8.28515625" customWidth="1"/>
    <col min="2306" max="2306" width="33.85546875" customWidth="1"/>
    <col min="2307" max="2307" width="22.7109375" customWidth="1"/>
    <col min="2308" max="2308" width="18.5703125" customWidth="1"/>
    <col min="2309" max="2309" width="23.140625" customWidth="1"/>
    <col min="2310" max="2310" width="11" customWidth="1"/>
    <col min="2311" max="2311" width="11.28515625" customWidth="1"/>
    <col min="2312" max="2314" width="12" customWidth="1"/>
    <col min="2315" max="2315" width="17.28515625" customWidth="1"/>
    <col min="2316" max="2316" width="19.5703125" customWidth="1"/>
    <col min="2317" max="2317" width="14.85546875" customWidth="1"/>
    <col min="2318" max="2318" width="13" customWidth="1"/>
    <col min="2561" max="2561" width="8.28515625" customWidth="1"/>
    <col min="2562" max="2562" width="33.85546875" customWidth="1"/>
    <col min="2563" max="2563" width="22.7109375" customWidth="1"/>
    <col min="2564" max="2564" width="18.5703125" customWidth="1"/>
    <col min="2565" max="2565" width="23.140625" customWidth="1"/>
    <col min="2566" max="2566" width="11" customWidth="1"/>
    <col min="2567" max="2567" width="11.28515625" customWidth="1"/>
    <col min="2568" max="2570" width="12" customWidth="1"/>
    <col min="2571" max="2571" width="17.28515625" customWidth="1"/>
    <col min="2572" max="2572" width="19.5703125" customWidth="1"/>
    <col min="2573" max="2573" width="14.85546875" customWidth="1"/>
    <col min="2574" max="2574" width="13" customWidth="1"/>
    <col min="2817" max="2817" width="8.28515625" customWidth="1"/>
    <col min="2818" max="2818" width="33.85546875" customWidth="1"/>
    <col min="2819" max="2819" width="22.7109375" customWidth="1"/>
    <col min="2820" max="2820" width="18.5703125" customWidth="1"/>
    <col min="2821" max="2821" width="23.140625" customWidth="1"/>
    <col min="2822" max="2822" width="11" customWidth="1"/>
    <col min="2823" max="2823" width="11.28515625" customWidth="1"/>
    <col min="2824" max="2826" width="12" customWidth="1"/>
    <col min="2827" max="2827" width="17.28515625" customWidth="1"/>
    <col min="2828" max="2828" width="19.5703125" customWidth="1"/>
    <col min="2829" max="2829" width="14.85546875" customWidth="1"/>
    <col min="2830" max="2830" width="13" customWidth="1"/>
    <col min="3073" max="3073" width="8.28515625" customWidth="1"/>
    <col min="3074" max="3074" width="33.85546875" customWidth="1"/>
    <col min="3075" max="3075" width="22.7109375" customWidth="1"/>
    <col min="3076" max="3076" width="18.5703125" customWidth="1"/>
    <col min="3077" max="3077" width="23.140625" customWidth="1"/>
    <col min="3078" max="3078" width="11" customWidth="1"/>
    <col min="3079" max="3079" width="11.28515625" customWidth="1"/>
    <col min="3080" max="3082" width="12" customWidth="1"/>
    <col min="3083" max="3083" width="17.28515625" customWidth="1"/>
    <col min="3084" max="3084" width="19.5703125" customWidth="1"/>
    <col min="3085" max="3085" width="14.85546875" customWidth="1"/>
    <col min="3086" max="3086" width="13" customWidth="1"/>
    <col min="3329" max="3329" width="8.28515625" customWidth="1"/>
    <col min="3330" max="3330" width="33.85546875" customWidth="1"/>
    <col min="3331" max="3331" width="22.7109375" customWidth="1"/>
    <col min="3332" max="3332" width="18.5703125" customWidth="1"/>
    <col min="3333" max="3333" width="23.140625" customWidth="1"/>
    <col min="3334" max="3334" width="11" customWidth="1"/>
    <col min="3335" max="3335" width="11.28515625" customWidth="1"/>
    <col min="3336" max="3338" width="12" customWidth="1"/>
    <col min="3339" max="3339" width="17.28515625" customWidth="1"/>
    <col min="3340" max="3340" width="19.5703125" customWidth="1"/>
    <col min="3341" max="3341" width="14.85546875" customWidth="1"/>
    <col min="3342" max="3342" width="13" customWidth="1"/>
    <col min="3585" max="3585" width="8.28515625" customWidth="1"/>
    <col min="3586" max="3586" width="33.85546875" customWidth="1"/>
    <col min="3587" max="3587" width="22.7109375" customWidth="1"/>
    <col min="3588" max="3588" width="18.5703125" customWidth="1"/>
    <col min="3589" max="3589" width="23.140625" customWidth="1"/>
    <col min="3590" max="3590" width="11" customWidth="1"/>
    <col min="3591" max="3591" width="11.28515625" customWidth="1"/>
    <col min="3592" max="3594" width="12" customWidth="1"/>
    <col min="3595" max="3595" width="17.28515625" customWidth="1"/>
    <col min="3596" max="3596" width="19.5703125" customWidth="1"/>
    <col min="3597" max="3597" width="14.85546875" customWidth="1"/>
    <col min="3598" max="3598" width="13" customWidth="1"/>
    <col min="3841" max="3841" width="8.28515625" customWidth="1"/>
    <col min="3842" max="3842" width="33.85546875" customWidth="1"/>
    <col min="3843" max="3843" width="22.7109375" customWidth="1"/>
    <col min="3844" max="3844" width="18.5703125" customWidth="1"/>
    <col min="3845" max="3845" width="23.140625" customWidth="1"/>
    <col min="3846" max="3846" width="11" customWidth="1"/>
    <col min="3847" max="3847" width="11.28515625" customWidth="1"/>
    <col min="3848" max="3850" width="12" customWidth="1"/>
    <col min="3851" max="3851" width="17.28515625" customWidth="1"/>
    <col min="3852" max="3852" width="19.5703125" customWidth="1"/>
    <col min="3853" max="3853" width="14.85546875" customWidth="1"/>
    <col min="3854" max="3854" width="13" customWidth="1"/>
    <col min="4097" max="4097" width="8.28515625" customWidth="1"/>
    <col min="4098" max="4098" width="33.85546875" customWidth="1"/>
    <col min="4099" max="4099" width="22.7109375" customWidth="1"/>
    <col min="4100" max="4100" width="18.5703125" customWidth="1"/>
    <col min="4101" max="4101" width="23.140625" customWidth="1"/>
    <col min="4102" max="4102" width="11" customWidth="1"/>
    <col min="4103" max="4103" width="11.28515625" customWidth="1"/>
    <col min="4104" max="4106" width="12" customWidth="1"/>
    <col min="4107" max="4107" width="17.28515625" customWidth="1"/>
    <col min="4108" max="4108" width="19.5703125" customWidth="1"/>
    <col min="4109" max="4109" width="14.85546875" customWidth="1"/>
    <col min="4110" max="4110" width="13" customWidth="1"/>
    <col min="4353" max="4353" width="8.28515625" customWidth="1"/>
    <col min="4354" max="4354" width="33.85546875" customWidth="1"/>
    <col min="4355" max="4355" width="22.7109375" customWidth="1"/>
    <col min="4356" max="4356" width="18.5703125" customWidth="1"/>
    <col min="4357" max="4357" width="23.140625" customWidth="1"/>
    <col min="4358" max="4358" width="11" customWidth="1"/>
    <col min="4359" max="4359" width="11.28515625" customWidth="1"/>
    <col min="4360" max="4362" width="12" customWidth="1"/>
    <col min="4363" max="4363" width="17.28515625" customWidth="1"/>
    <col min="4364" max="4364" width="19.5703125" customWidth="1"/>
    <col min="4365" max="4365" width="14.85546875" customWidth="1"/>
    <col min="4366" max="4366" width="13" customWidth="1"/>
    <col min="4609" max="4609" width="8.28515625" customWidth="1"/>
    <col min="4610" max="4610" width="33.85546875" customWidth="1"/>
    <col min="4611" max="4611" width="22.7109375" customWidth="1"/>
    <col min="4612" max="4612" width="18.5703125" customWidth="1"/>
    <col min="4613" max="4613" width="23.140625" customWidth="1"/>
    <col min="4614" max="4614" width="11" customWidth="1"/>
    <col min="4615" max="4615" width="11.28515625" customWidth="1"/>
    <col min="4616" max="4618" width="12" customWidth="1"/>
    <col min="4619" max="4619" width="17.28515625" customWidth="1"/>
    <col min="4620" max="4620" width="19.5703125" customWidth="1"/>
    <col min="4621" max="4621" width="14.85546875" customWidth="1"/>
    <col min="4622" max="4622" width="13" customWidth="1"/>
    <col min="4865" max="4865" width="8.28515625" customWidth="1"/>
    <col min="4866" max="4866" width="33.85546875" customWidth="1"/>
    <col min="4867" max="4867" width="22.7109375" customWidth="1"/>
    <col min="4868" max="4868" width="18.5703125" customWidth="1"/>
    <col min="4869" max="4869" width="23.140625" customWidth="1"/>
    <col min="4870" max="4870" width="11" customWidth="1"/>
    <col min="4871" max="4871" width="11.28515625" customWidth="1"/>
    <col min="4872" max="4874" width="12" customWidth="1"/>
    <col min="4875" max="4875" width="17.28515625" customWidth="1"/>
    <col min="4876" max="4876" width="19.5703125" customWidth="1"/>
    <col min="4877" max="4877" width="14.85546875" customWidth="1"/>
    <col min="4878" max="4878" width="13" customWidth="1"/>
    <col min="5121" max="5121" width="8.28515625" customWidth="1"/>
    <col min="5122" max="5122" width="33.85546875" customWidth="1"/>
    <col min="5123" max="5123" width="22.7109375" customWidth="1"/>
    <col min="5124" max="5124" width="18.5703125" customWidth="1"/>
    <col min="5125" max="5125" width="23.140625" customWidth="1"/>
    <col min="5126" max="5126" width="11" customWidth="1"/>
    <col min="5127" max="5127" width="11.28515625" customWidth="1"/>
    <col min="5128" max="5130" width="12" customWidth="1"/>
    <col min="5131" max="5131" width="17.28515625" customWidth="1"/>
    <col min="5132" max="5132" width="19.5703125" customWidth="1"/>
    <col min="5133" max="5133" width="14.85546875" customWidth="1"/>
    <col min="5134" max="5134" width="13" customWidth="1"/>
    <col min="5377" max="5377" width="8.28515625" customWidth="1"/>
    <col min="5378" max="5378" width="33.85546875" customWidth="1"/>
    <col min="5379" max="5379" width="22.7109375" customWidth="1"/>
    <col min="5380" max="5380" width="18.5703125" customWidth="1"/>
    <col min="5381" max="5381" width="23.140625" customWidth="1"/>
    <col min="5382" max="5382" width="11" customWidth="1"/>
    <col min="5383" max="5383" width="11.28515625" customWidth="1"/>
    <col min="5384" max="5386" width="12" customWidth="1"/>
    <col min="5387" max="5387" width="17.28515625" customWidth="1"/>
    <col min="5388" max="5388" width="19.5703125" customWidth="1"/>
    <col min="5389" max="5389" width="14.85546875" customWidth="1"/>
    <col min="5390" max="5390" width="13" customWidth="1"/>
    <col min="5633" max="5633" width="8.28515625" customWidth="1"/>
    <col min="5634" max="5634" width="33.85546875" customWidth="1"/>
    <col min="5635" max="5635" width="22.7109375" customWidth="1"/>
    <col min="5636" max="5636" width="18.5703125" customWidth="1"/>
    <col min="5637" max="5637" width="23.140625" customWidth="1"/>
    <col min="5638" max="5638" width="11" customWidth="1"/>
    <col min="5639" max="5639" width="11.28515625" customWidth="1"/>
    <col min="5640" max="5642" width="12" customWidth="1"/>
    <col min="5643" max="5643" width="17.28515625" customWidth="1"/>
    <col min="5644" max="5644" width="19.5703125" customWidth="1"/>
    <col min="5645" max="5645" width="14.85546875" customWidth="1"/>
    <col min="5646" max="5646" width="13" customWidth="1"/>
    <col min="5889" max="5889" width="8.28515625" customWidth="1"/>
    <col min="5890" max="5890" width="33.85546875" customWidth="1"/>
    <col min="5891" max="5891" width="22.7109375" customWidth="1"/>
    <col min="5892" max="5892" width="18.5703125" customWidth="1"/>
    <col min="5893" max="5893" width="23.140625" customWidth="1"/>
    <col min="5894" max="5894" width="11" customWidth="1"/>
    <col min="5895" max="5895" width="11.28515625" customWidth="1"/>
    <col min="5896" max="5898" width="12" customWidth="1"/>
    <col min="5899" max="5899" width="17.28515625" customWidth="1"/>
    <col min="5900" max="5900" width="19.5703125" customWidth="1"/>
    <col min="5901" max="5901" width="14.85546875" customWidth="1"/>
    <col min="5902" max="5902" width="13" customWidth="1"/>
    <col min="6145" max="6145" width="8.28515625" customWidth="1"/>
    <col min="6146" max="6146" width="33.85546875" customWidth="1"/>
    <col min="6147" max="6147" width="22.7109375" customWidth="1"/>
    <col min="6148" max="6148" width="18.5703125" customWidth="1"/>
    <col min="6149" max="6149" width="23.140625" customWidth="1"/>
    <col min="6150" max="6150" width="11" customWidth="1"/>
    <col min="6151" max="6151" width="11.28515625" customWidth="1"/>
    <col min="6152" max="6154" width="12" customWidth="1"/>
    <col min="6155" max="6155" width="17.28515625" customWidth="1"/>
    <col min="6156" max="6156" width="19.5703125" customWidth="1"/>
    <col min="6157" max="6157" width="14.85546875" customWidth="1"/>
    <col min="6158" max="6158" width="13" customWidth="1"/>
    <col min="6401" max="6401" width="8.28515625" customWidth="1"/>
    <col min="6402" max="6402" width="33.85546875" customWidth="1"/>
    <col min="6403" max="6403" width="22.7109375" customWidth="1"/>
    <col min="6404" max="6404" width="18.5703125" customWidth="1"/>
    <col min="6405" max="6405" width="23.140625" customWidth="1"/>
    <col min="6406" max="6406" width="11" customWidth="1"/>
    <col min="6407" max="6407" width="11.28515625" customWidth="1"/>
    <col min="6408" max="6410" width="12" customWidth="1"/>
    <col min="6411" max="6411" width="17.28515625" customWidth="1"/>
    <col min="6412" max="6412" width="19.5703125" customWidth="1"/>
    <col min="6413" max="6413" width="14.85546875" customWidth="1"/>
    <col min="6414" max="6414" width="13" customWidth="1"/>
    <col min="6657" max="6657" width="8.28515625" customWidth="1"/>
    <col min="6658" max="6658" width="33.85546875" customWidth="1"/>
    <col min="6659" max="6659" width="22.7109375" customWidth="1"/>
    <col min="6660" max="6660" width="18.5703125" customWidth="1"/>
    <col min="6661" max="6661" width="23.140625" customWidth="1"/>
    <col min="6662" max="6662" width="11" customWidth="1"/>
    <col min="6663" max="6663" width="11.28515625" customWidth="1"/>
    <col min="6664" max="6666" width="12" customWidth="1"/>
    <col min="6667" max="6667" width="17.28515625" customWidth="1"/>
    <col min="6668" max="6668" width="19.5703125" customWidth="1"/>
    <col min="6669" max="6669" width="14.85546875" customWidth="1"/>
    <col min="6670" max="6670" width="13" customWidth="1"/>
    <col min="6913" max="6913" width="8.28515625" customWidth="1"/>
    <col min="6914" max="6914" width="33.85546875" customWidth="1"/>
    <col min="6915" max="6915" width="22.7109375" customWidth="1"/>
    <col min="6916" max="6916" width="18.5703125" customWidth="1"/>
    <col min="6917" max="6917" width="23.140625" customWidth="1"/>
    <col min="6918" max="6918" width="11" customWidth="1"/>
    <col min="6919" max="6919" width="11.28515625" customWidth="1"/>
    <col min="6920" max="6922" width="12" customWidth="1"/>
    <col min="6923" max="6923" width="17.28515625" customWidth="1"/>
    <col min="6924" max="6924" width="19.5703125" customWidth="1"/>
    <col min="6925" max="6925" width="14.85546875" customWidth="1"/>
    <col min="6926" max="6926" width="13" customWidth="1"/>
    <col min="7169" max="7169" width="8.28515625" customWidth="1"/>
    <col min="7170" max="7170" width="33.85546875" customWidth="1"/>
    <col min="7171" max="7171" width="22.7109375" customWidth="1"/>
    <col min="7172" max="7172" width="18.5703125" customWidth="1"/>
    <col min="7173" max="7173" width="23.140625" customWidth="1"/>
    <col min="7174" max="7174" width="11" customWidth="1"/>
    <col min="7175" max="7175" width="11.28515625" customWidth="1"/>
    <col min="7176" max="7178" width="12" customWidth="1"/>
    <col min="7179" max="7179" width="17.28515625" customWidth="1"/>
    <col min="7180" max="7180" width="19.5703125" customWidth="1"/>
    <col min="7181" max="7181" width="14.85546875" customWidth="1"/>
    <col min="7182" max="7182" width="13" customWidth="1"/>
    <col min="7425" max="7425" width="8.28515625" customWidth="1"/>
    <col min="7426" max="7426" width="33.85546875" customWidth="1"/>
    <col min="7427" max="7427" width="22.7109375" customWidth="1"/>
    <col min="7428" max="7428" width="18.5703125" customWidth="1"/>
    <col min="7429" max="7429" width="23.140625" customWidth="1"/>
    <col min="7430" max="7430" width="11" customWidth="1"/>
    <col min="7431" max="7431" width="11.28515625" customWidth="1"/>
    <col min="7432" max="7434" width="12" customWidth="1"/>
    <col min="7435" max="7435" width="17.28515625" customWidth="1"/>
    <col min="7436" max="7436" width="19.5703125" customWidth="1"/>
    <col min="7437" max="7437" width="14.85546875" customWidth="1"/>
    <col min="7438" max="7438" width="13" customWidth="1"/>
    <col min="7681" max="7681" width="8.28515625" customWidth="1"/>
    <col min="7682" max="7682" width="33.85546875" customWidth="1"/>
    <col min="7683" max="7683" width="22.7109375" customWidth="1"/>
    <col min="7684" max="7684" width="18.5703125" customWidth="1"/>
    <col min="7685" max="7685" width="23.140625" customWidth="1"/>
    <col min="7686" max="7686" width="11" customWidth="1"/>
    <col min="7687" max="7687" width="11.28515625" customWidth="1"/>
    <col min="7688" max="7690" width="12" customWidth="1"/>
    <col min="7691" max="7691" width="17.28515625" customWidth="1"/>
    <col min="7692" max="7692" width="19.5703125" customWidth="1"/>
    <col min="7693" max="7693" width="14.85546875" customWidth="1"/>
    <col min="7694" max="7694" width="13" customWidth="1"/>
    <col min="7937" max="7937" width="8.28515625" customWidth="1"/>
    <col min="7938" max="7938" width="33.85546875" customWidth="1"/>
    <col min="7939" max="7939" width="22.7109375" customWidth="1"/>
    <col min="7940" max="7940" width="18.5703125" customWidth="1"/>
    <col min="7941" max="7941" width="23.140625" customWidth="1"/>
    <col min="7942" max="7942" width="11" customWidth="1"/>
    <col min="7943" max="7943" width="11.28515625" customWidth="1"/>
    <col min="7944" max="7946" width="12" customWidth="1"/>
    <col min="7947" max="7947" width="17.28515625" customWidth="1"/>
    <col min="7948" max="7948" width="19.5703125" customWidth="1"/>
    <col min="7949" max="7949" width="14.85546875" customWidth="1"/>
    <col min="7950" max="7950" width="13" customWidth="1"/>
    <col min="8193" max="8193" width="8.28515625" customWidth="1"/>
    <col min="8194" max="8194" width="33.85546875" customWidth="1"/>
    <col min="8195" max="8195" width="22.7109375" customWidth="1"/>
    <col min="8196" max="8196" width="18.5703125" customWidth="1"/>
    <col min="8197" max="8197" width="23.140625" customWidth="1"/>
    <col min="8198" max="8198" width="11" customWidth="1"/>
    <col min="8199" max="8199" width="11.28515625" customWidth="1"/>
    <col min="8200" max="8202" width="12" customWidth="1"/>
    <col min="8203" max="8203" width="17.28515625" customWidth="1"/>
    <col min="8204" max="8204" width="19.5703125" customWidth="1"/>
    <col min="8205" max="8205" width="14.85546875" customWidth="1"/>
    <col min="8206" max="8206" width="13" customWidth="1"/>
    <col min="8449" max="8449" width="8.28515625" customWidth="1"/>
    <col min="8450" max="8450" width="33.85546875" customWidth="1"/>
    <col min="8451" max="8451" width="22.7109375" customWidth="1"/>
    <col min="8452" max="8452" width="18.5703125" customWidth="1"/>
    <col min="8453" max="8453" width="23.140625" customWidth="1"/>
    <col min="8454" max="8454" width="11" customWidth="1"/>
    <col min="8455" max="8455" width="11.28515625" customWidth="1"/>
    <col min="8456" max="8458" width="12" customWidth="1"/>
    <col min="8459" max="8459" width="17.28515625" customWidth="1"/>
    <col min="8460" max="8460" width="19.5703125" customWidth="1"/>
    <col min="8461" max="8461" width="14.85546875" customWidth="1"/>
    <col min="8462" max="8462" width="13" customWidth="1"/>
    <col min="8705" max="8705" width="8.28515625" customWidth="1"/>
    <col min="8706" max="8706" width="33.85546875" customWidth="1"/>
    <col min="8707" max="8707" width="22.7109375" customWidth="1"/>
    <col min="8708" max="8708" width="18.5703125" customWidth="1"/>
    <col min="8709" max="8709" width="23.140625" customWidth="1"/>
    <col min="8710" max="8710" width="11" customWidth="1"/>
    <col min="8711" max="8711" width="11.28515625" customWidth="1"/>
    <col min="8712" max="8714" width="12" customWidth="1"/>
    <col min="8715" max="8715" width="17.28515625" customWidth="1"/>
    <col min="8716" max="8716" width="19.5703125" customWidth="1"/>
    <col min="8717" max="8717" width="14.85546875" customWidth="1"/>
    <col min="8718" max="8718" width="13" customWidth="1"/>
    <col min="8961" max="8961" width="8.28515625" customWidth="1"/>
    <col min="8962" max="8962" width="33.85546875" customWidth="1"/>
    <col min="8963" max="8963" width="22.7109375" customWidth="1"/>
    <col min="8964" max="8964" width="18.5703125" customWidth="1"/>
    <col min="8965" max="8965" width="23.140625" customWidth="1"/>
    <col min="8966" max="8966" width="11" customWidth="1"/>
    <col min="8967" max="8967" width="11.28515625" customWidth="1"/>
    <col min="8968" max="8970" width="12" customWidth="1"/>
    <col min="8971" max="8971" width="17.28515625" customWidth="1"/>
    <col min="8972" max="8972" width="19.5703125" customWidth="1"/>
    <col min="8973" max="8973" width="14.85546875" customWidth="1"/>
    <col min="8974" max="8974" width="13" customWidth="1"/>
    <col min="9217" max="9217" width="8.28515625" customWidth="1"/>
    <col min="9218" max="9218" width="33.85546875" customWidth="1"/>
    <col min="9219" max="9219" width="22.7109375" customWidth="1"/>
    <col min="9220" max="9220" width="18.5703125" customWidth="1"/>
    <col min="9221" max="9221" width="23.140625" customWidth="1"/>
    <col min="9222" max="9222" width="11" customWidth="1"/>
    <col min="9223" max="9223" width="11.28515625" customWidth="1"/>
    <col min="9224" max="9226" width="12" customWidth="1"/>
    <col min="9227" max="9227" width="17.28515625" customWidth="1"/>
    <col min="9228" max="9228" width="19.5703125" customWidth="1"/>
    <col min="9229" max="9229" width="14.85546875" customWidth="1"/>
    <col min="9230" max="9230" width="13" customWidth="1"/>
    <col min="9473" max="9473" width="8.28515625" customWidth="1"/>
    <col min="9474" max="9474" width="33.85546875" customWidth="1"/>
    <col min="9475" max="9475" width="22.7109375" customWidth="1"/>
    <col min="9476" max="9476" width="18.5703125" customWidth="1"/>
    <col min="9477" max="9477" width="23.140625" customWidth="1"/>
    <col min="9478" max="9478" width="11" customWidth="1"/>
    <col min="9479" max="9479" width="11.28515625" customWidth="1"/>
    <col min="9480" max="9482" width="12" customWidth="1"/>
    <col min="9483" max="9483" width="17.28515625" customWidth="1"/>
    <col min="9484" max="9484" width="19.5703125" customWidth="1"/>
    <col min="9485" max="9485" width="14.85546875" customWidth="1"/>
    <col min="9486" max="9486" width="13" customWidth="1"/>
    <col min="9729" max="9729" width="8.28515625" customWidth="1"/>
    <col min="9730" max="9730" width="33.85546875" customWidth="1"/>
    <col min="9731" max="9731" width="22.7109375" customWidth="1"/>
    <col min="9732" max="9732" width="18.5703125" customWidth="1"/>
    <col min="9733" max="9733" width="23.140625" customWidth="1"/>
    <col min="9734" max="9734" width="11" customWidth="1"/>
    <col min="9735" max="9735" width="11.28515625" customWidth="1"/>
    <col min="9736" max="9738" width="12" customWidth="1"/>
    <col min="9739" max="9739" width="17.28515625" customWidth="1"/>
    <col min="9740" max="9740" width="19.5703125" customWidth="1"/>
    <col min="9741" max="9741" width="14.85546875" customWidth="1"/>
    <col min="9742" max="9742" width="13" customWidth="1"/>
    <col min="9985" max="9985" width="8.28515625" customWidth="1"/>
    <col min="9986" max="9986" width="33.85546875" customWidth="1"/>
    <col min="9987" max="9987" width="22.7109375" customWidth="1"/>
    <col min="9988" max="9988" width="18.5703125" customWidth="1"/>
    <col min="9989" max="9989" width="23.140625" customWidth="1"/>
    <col min="9990" max="9990" width="11" customWidth="1"/>
    <col min="9991" max="9991" width="11.28515625" customWidth="1"/>
    <col min="9992" max="9994" width="12" customWidth="1"/>
    <col min="9995" max="9995" width="17.28515625" customWidth="1"/>
    <col min="9996" max="9996" width="19.5703125" customWidth="1"/>
    <col min="9997" max="9997" width="14.85546875" customWidth="1"/>
    <col min="9998" max="9998" width="13" customWidth="1"/>
    <col min="10241" max="10241" width="8.28515625" customWidth="1"/>
    <col min="10242" max="10242" width="33.85546875" customWidth="1"/>
    <col min="10243" max="10243" width="22.7109375" customWidth="1"/>
    <col min="10244" max="10244" width="18.5703125" customWidth="1"/>
    <col min="10245" max="10245" width="23.140625" customWidth="1"/>
    <col min="10246" max="10246" width="11" customWidth="1"/>
    <col min="10247" max="10247" width="11.28515625" customWidth="1"/>
    <col min="10248" max="10250" width="12" customWidth="1"/>
    <col min="10251" max="10251" width="17.28515625" customWidth="1"/>
    <col min="10252" max="10252" width="19.5703125" customWidth="1"/>
    <col min="10253" max="10253" width="14.85546875" customWidth="1"/>
    <col min="10254" max="10254" width="13" customWidth="1"/>
    <col min="10497" max="10497" width="8.28515625" customWidth="1"/>
    <col min="10498" max="10498" width="33.85546875" customWidth="1"/>
    <col min="10499" max="10499" width="22.7109375" customWidth="1"/>
    <col min="10500" max="10500" width="18.5703125" customWidth="1"/>
    <col min="10501" max="10501" width="23.140625" customWidth="1"/>
    <col min="10502" max="10502" width="11" customWidth="1"/>
    <col min="10503" max="10503" width="11.28515625" customWidth="1"/>
    <col min="10504" max="10506" width="12" customWidth="1"/>
    <col min="10507" max="10507" width="17.28515625" customWidth="1"/>
    <col min="10508" max="10508" width="19.5703125" customWidth="1"/>
    <col min="10509" max="10509" width="14.85546875" customWidth="1"/>
    <col min="10510" max="10510" width="13" customWidth="1"/>
    <col min="10753" max="10753" width="8.28515625" customWidth="1"/>
    <col min="10754" max="10754" width="33.85546875" customWidth="1"/>
    <col min="10755" max="10755" width="22.7109375" customWidth="1"/>
    <col min="10756" max="10756" width="18.5703125" customWidth="1"/>
    <col min="10757" max="10757" width="23.140625" customWidth="1"/>
    <col min="10758" max="10758" width="11" customWidth="1"/>
    <col min="10759" max="10759" width="11.28515625" customWidth="1"/>
    <col min="10760" max="10762" width="12" customWidth="1"/>
    <col min="10763" max="10763" width="17.28515625" customWidth="1"/>
    <col min="10764" max="10764" width="19.5703125" customWidth="1"/>
    <col min="10765" max="10765" width="14.85546875" customWidth="1"/>
    <col min="10766" max="10766" width="13" customWidth="1"/>
    <col min="11009" max="11009" width="8.28515625" customWidth="1"/>
    <col min="11010" max="11010" width="33.85546875" customWidth="1"/>
    <col min="11011" max="11011" width="22.7109375" customWidth="1"/>
    <col min="11012" max="11012" width="18.5703125" customWidth="1"/>
    <col min="11013" max="11013" width="23.140625" customWidth="1"/>
    <col min="11014" max="11014" width="11" customWidth="1"/>
    <col min="11015" max="11015" width="11.28515625" customWidth="1"/>
    <col min="11016" max="11018" width="12" customWidth="1"/>
    <col min="11019" max="11019" width="17.28515625" customWidth="1"/>
    <col min="11020" max="11020" width="19.5703125" customWidth="1"/>
    <col min="11021" max="11021" width="14.85546875" customWidth="1"/>
    <col min="11022" max="11022" width="13" customWidth="1"/>
    <col min="11265" max="11265" width="8.28515625" customWidth="1"/>
    <col min="11266" max="11266" width="33.85546875" customWidth="1"/>
    <col min="11267" max="11267" width="22.7109375" customWidth="1"/>
    <col min="11268" max="11268" width="18.5703125" customWidth="1"/>
    <col min="11269" max="11269" width="23.140625" customWidth="1"/>
    <col min="11270" max="11270" width="11" customWidth="1"/>
    <col min="11271" max="11271" width="11.28515625" customWidth="1"/>
    <col min="11272" max="11274" width="12" customWidth="1"/>
    <col min="11275" max="11275" width="17.28515625" customWidth="1"/>
    <col min="11276" max="11276" width="19.5703125" customWidth="1"/>
    <col min="11277" max="11277" width="14.85546875" customWidth="1"/>
    <col min="11278" max="11278" width="13" customWidth="1"/>
    <col min="11521" max="11521" width="8.28515625" customWidth="1"/>
    <col min="11522" max="11522" width="33.85546875" customWidth="1"/>
    <col min="11523" max="11523" width="22.7109375" customWidth="1"/>
    <col min="11524" max="11524" width="18.5703125" customWidth="1"/>
    <col min="11525" max="11525" width="23.140625" customWidth="1"/>
    <col min="11526" max="11526" width="11" customWidth="1"/>
    <col min="11527" max="11527" width="11.28515625" customWidth="1"/>
    <col min="11528" max="11530" width="12" customWidth="1"/>
    <col min="11531" max="11531" width="17.28515625" customWidth="1"/>
    <col min="11532" max="11532" width="19.5703125" customWidth="1"/>
    <col min="11533" max="11533" width="14.85546875" customWidth="1"/>
    <col min="11534" max="11534" width="13" customWidth="1"/>
    <col min="11777" max="11777" width="8.28515625" customWidth="1"/>
    <col min="11778" max="11778" width="33.85546875" customWidth="1"/>
    <col min="11779" max="11779" width="22.7109375" customWidth="1"/>
    <col min="11780" max="11780" width="18.5703125" customWidth="1"/>
    <col min="11781" max="11781" width="23.140625" customWidth="1"/>
    <col min="11782" max="11782" width="11" customWidth="1"/>
    <col min="11783" max="11783" width="11.28515625" customWidth="1"/>
    <col min="11784" max="11786" width="12" customWidth="1"/>
    <col min="11787" max="11787" width="17.28515625" customWidth="1"/>
    <col min="11788" max="11788" width="19.5703125" customWidth="1"/>
    <col min="11789" max="11789" width="14.85546875" customWidth="1"/>
    <col min="11790" max="11790" width="13" customWidth="1"/>
    <col min="12033" max="12033" width="8.28515625" customWidth="1"/>
    <col min="12034" max="12034" width="33.85546875" customWidth="1"/>
    <col min="12035" max="12035" width="22.7109375" customWidth="1"/>
    <col min="12036" max="12036" width="18.5703125" customWidth="1"/>
    <col min="12037" max="12037" width="23.140625" customWidth="1"/>
    <col min="12038" max="12038" width="11" customWidth="1"/>
    <col min="12039" max="12039" width="11.28515625" customWidth="1"/>
    <col min="12040" max="12042" width="12" customWidth="1"/>
    <col min="12043" max="12043" width="17.28515625" customWidth="1"/>
    <col min="12044" max="12044" width="19.5703125" customWidth="1"/>
    <col min="12045" max="12045" width="14.85546875" customWidth="1"/>
    <col min="12046" max="12046" width="13" customWidth="1"/>
    <col min="12289" max="12289" width="8.28515625" customWidth="1"/>
    <col min="12290" max="12290" width="33.85546875" customWidth="1"/>
    <col min="12291" max="12291" width="22.7109375" customWidth="1"/>
    <col min="12292" max="12292" width="18.5703125" customWidth="1"/>
    <col min="12293" max="12293" width="23.140625" customWidth="1"/>
    <col min="12294" max="12294" width="11" customWidth="1"/>
    <col min="12295" max="12295" width="11.28515625" customWidth="1"/>
    <col min="12296" max="12298" width="12" customWidth="1"/>
    <col min="12299" max="12299" width="17.28515625" customWidth="1"/>
    <col min="12300" max="12300" width="19.5703125" customWidth="1"/>
    <col min="12301" max="12301" width="14.85546875" customWidth="1"/>
    <col min="12302" max="12302" width="13" customWidth="1"/>
    <col min="12545" max="12545" width="8.28515625" customWidth="1"/>
    <col min="12546" max="12546" width="33.85546875" customWidth="1"/>
    <col min="12547" max="12547" width="22.7109375" customWidth="1"/>
    <col min="12548" max="12548" width="18.5703125" customWidth="1"/>
    <col min="12549" max="12549" width="23.140625" customWidth="1"/>
    <col min="12550" max="12550" width="11" customWidth="1"/>
    <col min="12551" max="12551" width="11.28515625" customWidth="1"/>
    <col min="12552" max="12554" width="12" customWidth="1"/>
    <col min="12555" max="12555" width="17.28515625" customWidth="1"/>
    <col min="12556" max="12556" width="19.5703125" customWidth="1"/>
    <col min="12557" max="12557" width="14.85546875" customWidth="1"/>
    <col min="12558" max="12558" width="13" customWidth="1"/>
    <col min="12801" max="12801" width="8.28515625" customWidth="1"/>
    <col min="12802" max="12802" width="33.85546875" customWidth="1"/>
    <col min="12803" max="12803" width="22.7109375" customWidth="1"/>
    <col min="12804" max="12804" width="18.5703125" customWidth="1"/>
    <col min="12805" max="12805" width="23.140625" customWidth="1"/>
    <col min="12806" max="12806" width="11" customWidth="1"/>
    <col min="12807" max="12807" width="11.28515625" customWidth="1"/>
    <col min="12808" max="12810" width="12" customWidth="1"/>
    <col min="12811" max="12811" width="17.28515625" customWidth="1"/>
    <col min="12812" max="12812" width="19.5703125" customWidth="1"/>
    <col min="12813" max="12813" width="14.85546875" customWidth="1"/>
    <col min="12814" max="12814" width="13" customWidth="1"/>
    <col min="13057" max="13057" width="8.28515625" customWidth="1"/>
    <col min="13058" max="13058" width="33.85546875" customWidth="1"/>
    <col min="13059" max="13059" width="22.7109375" customWidth="1"/>
    <col min="13060" max="13060" width="18.5703125" customWidth="1"/>
    <col min="13061" max="13061" width="23.140625" customWidth="1"/>
    <col min="13062" max="13062" width="11" customWidth="1"/>
    <col min="13063" max="13063" width="11.28515625" customWidth="1"/>
    <col min="13064" max="13066" width="12" customWidth="1"/>
    <col min="13067" max="13067" width="17.28515625" customWidth="1"/>
    <col min="13068" max="13068" width="19.5703125" customWidth="1"/>
    <col min="13069" max="13069" width="14.85546875" customWidth="1"/>
    <col min="13070" max="13070" width="13" customWidth="1"/>
    <col min="13313" max="13313" width="8.28515625" customWidth="1"/>
    <col min="13314" max="13314" width="33.85546875" customWidth="1"/>
    <col min="13315" max="13315" width="22.7109375" customWidth="1"/>
    <col min="13316" max="13316" width="18.5703125" customWidth="1"/>
    <col min="13317" max="13317" width="23.140625" customWidth="1"/>
    <col min="13318" max="13318" width="11" customWidth="1"/>
    <col min="13319" max="13319" width="11.28515625" customWidth="1"/>
    <col min="13320" max="13322" width="12" customWidth="1"/>
    <col min="13323" max="13323" width="17.28515625" customWidth="1"/>
    <col min="13324" max="13324" width="19.5703125" customWidth="1"/>
    <col min="13325" max="13325" width="14.85546875" customWidth="1"/>
    <col min="13326" max="13326" width="13" customWidth="1"/>
    <col min="13569" max="13569" width="8.28515625" customWidth="1"/>
    <col min="13570" max="13570" width="33.85546875" customWidth="1"/>
    <col min="13571" max="13571" width="22.7109375" customWidth="1"/>
    <col min="13572" max="13572" width="18.5703125" customWidth="1"/>
    <col min="13573" max="13573" width="23.140625" customWidth="1"/>
    <col min="13574" max="13574" width="11" customWidth="1"/>
    <col min="13575" max="13575" width="11.28515625" customWidth="1"/>
    <col min="13576" max="13578" width="12" customWidth="1"/>
    <col min="13579" max="13579" width="17.28515625" customWidth="1"/>
    <col min="13580" max="13580" width="19.5703125" customWidth="1"/>
    <col min="13581" max="13581" width="14.85546875" customWidth="1"/>
    <col min="13582" max="13582" width="13" customWidth="1"/>
    <col min="13825" max="13825" width="8.28515625" customWidth="1"/>
    <col min="13826" max="13826" width="33.85546875" customWidth="1"/>
    <col min="13827" max="13827" width="22.7109375" customWidth="1"/>
    <col min="13828" max="13828" width="18.5703125" customWidth="1"/>
    <col min="13829" max="13829" width="23.140625" customWidth="1"/>
    <col min="13830" max="13830" width="11" customWidth="1"/>
    <col min="13831" max="13831" width="11.28515625" customWidth="1"/>
    <col min="13832" max="13834" width="12" customWidth="1"/>
    <col min="13835" max="13835" width="17.28515625" customWidth="1"/>
    <col min="13836" max="13836" width="19.5703125" customWidth="1"/>
    <col min="13837" max="13837" width="14.85546875" customWidth="1"/>
    <col min="13838" max="13838" width="13" customWidth="1"/>
    <col min="14081" max="14081" width="8.28515625" customWidth="1"/>
    <col min="14082" max="14082" width="33.85546875" customWidth="1"/>
    <col min="14083" max="14083" width="22.7109375" customWidth="1"/>
    <col min="14084" max="14084" width="18.5703125" customWidth="1"/>
    <col min="14085" max="14085" width="23.140625" customWidth="1"/>
    <col min="14086" max="14086" width="11" customWidth="1"/>
    <col min="14087" max="14087" width="11.28515625" customWidth="1"/>
    <col min="14088" max="14090" width="12" customWidth="1"/>
    <col min="14091" max="14091" width="17.28515625" customWidth="1"/>
    <col min="14092" max="14092" width="19.5703125" customWidth="1"/>
    <col min="14093" max="14093" width="14.85546875" customWidth="1"/>
    <col min="14094" max="14094" width="13" customWidth="1"/>
    <col min="14337" max="14337" width="8.28515625" customWidth="1"/>
    <col min="14338" max="14338" width="33.85546875" customWidth="1"/>
    <col min="14339" max="14339" width="22.7109375" customWidth="1"/>
    <col min="14340" max="14340" width="18.5703125" customWidth="1"/>
    <col min="14341" max="14341" width="23.140625" customWidth="1"/>
    <col min="14342" max="14342" width="11" customWidth="1"/>
    <col min="14343" max="14343" width="11.28515625" customWidth="1"/>
    <col min="14344" max="14346" width="12" customWidth="1"/>
    <col min="14347" max="14347" width="17.28515625" customWidth="1"/>
    <col min="14348" max="14348" width="19.5703125" customWidth="1"/>
    <col min="14349" max="14349" width="14.85546875" customWidth="1"/>
    <col min="14350" max="14350" width="13" customWidth="1"/>
    <col min="14593" max="14593" width="8.28515625" customWidth="1"/>
    <col min="14594" max="14594" width="33.85546875" customWidth="1"/>
    <col min="14595" max="14595" width="22.7109375" customWidth="1"/>
    <col min="14596" max="14596" width="18.5703125" customWidth="1"/>
    <col min="14597" max="14597" width="23.140625" customWidth="1"/>
    <col min="14598" max="14598" width="11" customWidth="1"/>
    <col min="14599" max="14599" width="11.28515625" customWidth="1"/>
    <col min="14600" max="14602" width="12" customWidth="1"/>
    <col min="14603" max="14603" width="17.28515625" customWidth="1"/>
    <col min="14604" max="14604" width="19.5703125" customWidth="1"/>
    <col min="14605" max="14605" width="14.85546875" customWidth="1"/>
    <col min="14606" max="14606" width="13" customWidth="1"/>
    <col min="14849" max="14849" width="8.28515625" customWidth="1"/>
    <col min="14850" max="14850" width="33.85546875" customWidth="1"/>
    <col min="14851" max="14851" width="22.7109375" customWidth="1"/>
    <col min="14852" max="14852" width="18.5703125" customWidth="1"/>
    <col min="14853" max="14853" width="23.140625" customWidth="1"/>
    <col min="14854" max="14854" width="11" customWidth="1"/>
    <col min="14855" max="14855" width="11.28515625" customWidth="1"/>
    <col min="14856" max="14858" width="12" customWidth="1"/>
    <col min="14859" max="14859" width="17.28515625" customWidth="1"/>
    <col min="14860" max="14860" width="19.5703125" customWidth="1"/>
    <col min="14861" max="14861" width="14.85546875" customWidth="1"/>
    <col min="14862" max="14862" width="13" customWidth="1"/>
    <col min="15105" max="15105" width="8.28515625" customWidth="1"/>
    <col min="15106" max="15106" width="33.85546875" customWidth="1"/>
    <col min="15107" max="15107" width="22.7109375" customWidth="1"/>
    <col min="15108" max="15108" width="18.5703125" customWidth="1"/>
    <col min="15109" max="15109" width="23.140625" customWidth="1"/>
    <col min="15110" max="15110" width="11" customWidth="1"/>
    <col min="15111" max="15111" width="11.28515625" customWidth="1"/>
    <col min="15112" max="15114" width="12" customWidth="1"/>
    <col min="15115" max="15115" width="17.28515625" customWidth="1"/>
    <col min="15116" max="15116" width="19.5703125" customWidth="1"/>
    <col min="15117" max="15117" width="14.85546875" customWidth="1"/>
    <col min="15118" max="15118" width="13" customWidth="1"/>
    <col min="15361" max="15361" width="8.28515625" customWidth="1"/>
    <col min="15362" max="15362" width="33.85546875" customWidth="1"/>
    <col min="15363" max="15363" width="22.7109375" customWidth="1"/>
    <col min="15364" max="15364" width="18.5703125" customWidth="1"/>
    <col min="15365" max="15365" width="23.140625" customWidth="1"/>
    <col min="15366" max="15366" width="11" customWidth="1"/>
    <col min="15367" max="15367" width="11.28515625" customWidth="1"/>
    <col min="15368" max="15370" width="12" customWidth="1"/>
    <col min="15371" max="15371" width="17.28515625" customWidth="1"/>
    <col min="15372" max="15372" width="19.5703125" customWidth="1"/>
    <col min="15373" max="15373" width="14.85546875" customWidth="1"/>
    <col min="15374" max="15374" width="13" customWidth="1"/>
    <col min="15617" max="15617" width="8.28515625" customWidth="1"/>
    <col min="15618" max="15618" width="33.85546875" customWidth="1"/>
    <col min="15619" max="15619" width="22.7109375" customWidth="1"/>
    <col min="15620" max="15620" width="18.5703125" customWidth="1"/>
    <col min="15621" max="15621" width="23.140625" customWidth="1"/>
    <col min="15622" max="15622" width="11" customWidth="1"/>
    <col min="15623" max="15623" width="11.28515625" customWidth="1"/>
    <col min="15624" max="15626" width="12" customWidth="1"/>
    <col min="15627" max="15627" width="17.28515625" customWidth="1"/>
    <col min="15628" max="15628" width="19.5703125" customWidth="1"/>
    <col min="15629" max="15629" width="14.85546875" customWidth="1"/>
    <col min="15630" max="15630" width="13" customWidth="1"/>
    <col min="15873" max="15873" width="8.28515625" customWidth="1"/>
    <col min="15874" max="15874" width="33.85546875" customWidth="1"/>
    <col min="15875" max="15875" width="22.7109375" customWidth="1"/>
    <col min="15876" max="15876" width="18.5703125" customWidth="1"/>
    <col min="15877" max="15877" width="23.140625" customWidth="1"/>
    <col min="15878" max="15878" width="11" customWidth="1"/>
    <col min="15879" max="15879" width="11.28515625" customWidth="1"/>
    <col min="15880" max="15882" width="12" customWidth="1"/>
    <col min="15883" max="15883" width="17.28515625" customWidth="1"/>
    <col min="15884" max="15884" width="19.5703125" customWidth="1"/>
    <col min="15885" max="15885" width="14.85546875" customWidth="1"/>
    <col min="15886" max="15886" width="13" customWidth="1"/>
    <col min="16129" max="16129" width="8.28515625" customWidth="1"/>
    <col min="16130" max="16130" width="33.85546875" customWidth="1"/>
    <col min="16131" max="16131" width="22.7109375" customWidth="1"/>
    <col min="16132" max="16132" width="18.5703125" customWidth="1"/>
    <col min="16133" max="16133" width="23.140625" customWidth="1"/>
    <col min="16134" max="16134" width="11" customWidth="1"/>
    <col min="16135" max="16135" width="11.28515625" customWidth="1"/>
    <col min="16136" max="16138" width="12" customWidth="1"/>
    <col min="16139" max="16139" width="17.28515625" customWidth="1"/>
    <col min="16140" max="16140" width="19.5703125" customWidth="1"/>
    <col min="16141" max="16141" width="14.85546875" customWidth="1"/>
    <col min="16142" max="16142" width="13" customWidth="1"/>
  </cols>
  <sheetData>
    <row r="1" spans="1:11" x14ac:dyDescent="0.25">
      <c r="A1" s="155" t="s">
        <v>205</v>
      </c>
      <c r="B1" s="155"/>
      <c r="C1" s="155"/>
      <c r="D1" s="155"/>
      <c r="E1" s="155"/>
      <c r="F1" s="155"/>
      <c r="G1" s="155"/>
      <c r="H1" s="155"/>
      <c r="I1" s="155"/>
      <c r="J1" s="155"/>
      <c r="K1" s="155"/>
    </row>
    <row r="2" spans="1:11" x14ac:dyDescent="0.25">
      <c r="A2" s="156" t="s">
        <v>206</v>
      </c>
      <c r="B2" s="156"/>
      <c r="C2" s="156"/>
      <c r="D2" s="156"/>
      <c r="E2" s="156"/>
      <c r="F2" s="156"/>
      <c r="G2" s="156"/>
      <c r="H2" s="156"/>
      <c r="I2" s="156"/>
      <c r="J2" s="156"/>
      <c r="K2" s="156"/>
    </row>
    <row r="3" spans="1:11" x14ac:dyDescent="0.25">
      <c r="A3" s="192" t="s">
        <v>207</v>
      </c>
      <c r="B3" s="192"/>
      <c r="C3" s="192"/>
      <c r="D3" s="192"/>
      <c r="E3" s="192"/>
      <c r="F3" s="192"/>
      <c r="G3" s="192"/>
      <c r="H3" s="192"/>
      <c r="I3" s="192"/>
      <c r="J3" s="192"/>
      <c r="K3" s="192"/>
    </row>
    <row r="4" spans="1:11" x14ac:dyDescent="0.25">
      <c r="A4" s="84"/>
      <c r="B4" s="84"/>
      <c r="C4" s="84"/>
      <c r="D4" s="84"/>
      <c r="E4" s="84"/>
      <c r="F4" s="84"/>
      <c r="G4" s="84"/>
      <c r="H4" s="84"/>
      <c r="I4" s="84"/>
      <c r="J4" s="84"/>
      <c r="K4" s="84"/>
    </row>
    <row r="5" spans="1:11" x14ac:dyDescent="0.25">
      <c r="A5" s="191" t="s">
        <v>186</v>
      </c>
      <c r="B5" s="191" t="s">
        <v>208</v>
      </c>
      <c r="C5" s="191" t="s">
        <v>209</v>
      </c>
      <c r="D5" s="191" t="s">
        <v>210</v>
      </c>
      <c r="E5" s="191" t="s">
        <v>211</v>
      </c>
      <c r="F5" s="191" t="s">
        <v>212</v>
      </c>
      <c r="G5" s="191"/>
      <c r="H5" s="191"/>
      <c r="I5" s="191"/>
      <c r="J5" s="191"/>
      <c r="K5" s="191"/>
    </row>
    <row r="6" spans="1:11" x14ac:dyDescent="0.25">
      <c r="A6" s="191"/>
      <c r="B6" s="191"/>
      <c r="C6" s="191"/>
      <c r="D6" s="191"/>
      <c r="E6" s="191"/>
      <c r="F6" s="191" t="s">
        <v>3</v>
      </c>
      <c r="G6" s="191" t="s">
        <v>34</v>
      </c>
      <c r="H6" s="191"/>
      <c r="I6" s="191"/>
      <c r="J6" s="191"/>
      <c r="K6" s="191"/>
    </row>
    <row r="7" spans="1:11" x14ac:dyDescent="0.25">
      <c r="A7" s="191"/>
      <c r="B7" s="191"/>
      <c r="C7" s="191"/>
      <c r="D7" s="191"/>
      <c r="E7" s="191"/>
      <c r="F7" s="191"/>
      <c r="G7" s="85" t="s">
        <v>20</v>
      </c>
      <c r="H7" s="85" t="s">
        <v>21</v>
      </c>
      <c r="I7" s="85" t="s">
        <v>50</v>
      </c>
      <c r="J7" s="85" t="s">
        <v>66</v>
      </c>
      <c r="K7" s="85" t="s">
        <v>67</v>
      </c>
    </row>
    <row r="8" spans="1:11" s="87" customFormat="1" ht="12.75" x14ac:dyDescent="0.2">
      <c r="A8" s="86">
        <v>1</v>
      </c>
      <c r="B8" s="86">
        <v>2</v>
      </c>
      <c r="C8" s="86">
        <v>3</v>
      </c>
      <c r="D8" s="86">
        <v>4</v>
      </c>
      <c r="E8" s="86">
        <v>5</v>
      </c>
      <c r="F8" s="86">
        <v>6</v>
      </c>
      <c r="G8" s="86">
        <v>7</v>
      </c>
      <c r="H8" s="86">
        <v>8</v>
      </c>
      <c r="I8" s="86">
        <v>9</v>
      </c>
      <c r="J8" s="86">
        <v>10</v>
      </c>
      <c r="K8" s="86">
        <v>11</v>
      </c>
    </row>
    <row r="9" spans="1:11" s="89" customFormat="1" x14ac:dyDescent="0.25">
      <c r="A9" s="97"/>
      <c r="B9" s="72"/>
      <c r="C9" s="63"/>
      <c r="D9" s="63"/>
      <c r="E9" s="98"/>
      <c r="F9" s="63"/>
      <c r="G9" s="63"/>
      <c r="H9" s="98"/>
      <c r="I9" s="98"/>
      <c r="J9" s="98"/>
      <c r="K9" s="98"/>
    </row>
    <row r="10" spans="1:11" s="89" customFormat="1" x14ac:dyDescent="0.25">
      <c r="A10" s="97"/>
      <c r="B10" s="72"/>
      <c r="C10" s="63"/>
      <c r="D10" s="63"/>
      <c r="E10" s="63"/>
      <c r="F10" s="63"/>
      <c r="G10" s="63"/>
      <c r="H10" s="63"/>
      <c r="I10" s="63"/>
      <c r="J10" s="63"/>
      <c r="K10" s="63"/>
    </row>
    <row r="11" spans="1:11" s="89" customFormat="1" x14ac:dyDescent="0.25">
      <c r="A11" s="97"/>
      <c r="B11" s="72"/>
      <c r="C11" s="63"/>
      <c r="D11" s="63"/>
      <c r="E11" s="63"/>
      <c r="F11" s="63"/>
      <c r="G11" s="63"/>
      <c r="H11" s="63"/>
      <c r="I11" s="63"/>
      <c r="J11" s="63"/>
      <c r="K11" s="63"/>
    </row>
  </sheetData>
  <mergeCells count="11">
    <mergeCell ref="G6:K6"/>
    <mergeCell ref="A1:K1"/>
    <mergeCell ref="A2:K2"/>
    <mergeCell ref="A3:K3"/>
    <mergeCell ref="A5:A7"/>
    <mergeCell ref="B5:B7"/>
    <mergeCell ref="C5:C7"/>
    <mergeCell ref="D5:D7"/>
    <mergeCell ref="E5:E7"/>
    <mergeCell ref="F5:K5"/>
    <mergeCell ref="F6:F7"/>
  </mergeCells>
  <pageMargins left="0.7" right="0.7" top="0.75" bottom="0.75" header="0.3" footer="0.3"/>
  <pageSetup paperSize="9" scale="7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B8215-5DF9-49F5-892F-F444BBDFB21B}">
  <sheetPr>
    <pageSetUpPr fitToPage="1"/>
  </sheetPr>
  <dimension ref="A1:J12"/>
  <sheetViews>
    <sheetView tabSelected="1" view="pageBreakPreview" zoomScale="69" zoomScaleNormal="100" zoomScaleSheetLayoutView="69" workbookViewId="0">
      <selection activeCell="P10" sqref="P10"/>
    </sheetView>
  </sheetViews>
  <sheetFormatPr defaultRowHeight="15" x14ac:dyDescent="0.25"/>
  <cols>
    <col min="1" max="1" width="7.5703125" customWidth="1"/>
    <col min="2" max="2" width="48.7109375" customWidth="1"/>
    <col min="3" max="3" width="22.42578125" customWidth="1"/>
    <col min="4" max="7" width="14.7109375" customWidth="1"/>
    <col min="8" max="8" width="14.7109375" hidden="1" customWidth="1"/>
    <col min="9" max="9" width="22.42578125" style="111" customWidth="1"/>
    <col min="257" max="257" width="7.5703125" customWidth="1"/>
    <col min="258" max="258" width="48.7109375" customWidth="1"/>
    <col min="259" max="259" width="22.42578125" customWidth="1"/>
    <col min="260" max="263" width="14.7109375" customWidth="1"/>
    <col min="264" max="264" width="0" hidden="1" customWidth="1"/>
    <col min="265" max="265" width="22.42578125" customWidth="1"/>
    <col min="513" max="513" width="7.5703125" customWidth="1"/>
    <col min="514" max="514" width="48.7109375" customWidth="1"/>
    <col min="515" max="515" width="22.42578125" customWidth="1"/>
    <col min="516" max="519" width="14.7109375" customWidth="1"/>
    <col min="520" max="520" width="0" hidden="1" customWidth="1"/>
    <col min="521" max="521" width="22.42578125" customWidth="1"/>
    <col min="769" max="769" width="7.5703125" customWidth="1"/>
    <col min="770" max="770" width="48.7109375" customWidth="1"/>
    <col min="771" max="771" width="22.42578125" customWidth="1"/>
    <col min="772" max="775" width="14.7109375" customWidth="1"/>
    <col min="776" max="776" width="0" hidden="1" customWidth="1"/>
    <col min="777" max="777" width="22.42578125" customWidth="1"/>
    <col min="1025" max="1025" width="7.5703125" customWidth="1"/>
    <col min="1026" max="1026" width="48.7109375" customWidth="1"/>
    <col min="1027" max="1027" width="22.42578125" customWidth="1"/>
    <col min="1028" max="1031" width="14.7109375" customWidth="1"/>
    <col min="1032" max="1032" width="0" hidden="1" customWidth="1"/>
    <col min="1033" max="1033" width="22.42578125" customWidth="1"/>
    <col min="1281" max="1281" width="7.5703125" customWidth="1"/>
    <col min="1282" max="1282" width="48.7109375" customWidth="1"/>
    <col min="1283" max="1283" width="22.42578125" customWidth="1"/>
    <col min="1284" max="1287" width="14.7109375" customWidth="1"/>
    <col min="1288" max="1288" width="0" hidden="1" customWidth="1"/>
    <col min="1289" max="1289" width="22.42578125" customWidth="1"/>
    <col min="1537" max="1537" width="7.5703125" customWidth="1"/>
    <col min="1538" max="1538" width="48.7109375" customWidth="1"/>
    <col min="1539" max="1539" width="22.42578125" customWidth="1"/>
    <col min="1540" max="1543" width="14.7109375" customWidth="1"/>
    <col min="1544" max="1544" width="0" hidden="1" customWidth="1"/>
    <col min="1545" max="1545" width="22.42578125" customWidth="1"/>
    <col min="1793" max="1793" width="7.5703125" customWidth="1"/>
    <col min="1794" max="1794" width="48.7109375" customWidth="1"/>
    <col min="1795" max="1795" width="22.42578125" customWidth="1"/>
    <col min="1796" max="1799" width="14.7109375" customWidth="1"/>
    <col min="1800" max="1800" width="0" hidden="1" customWidth="1"/>
    <col min="1801" max="1801" width="22.42578125" customWidth="1"/>
    <col min="2049" max="2049" width="7.5703125" customWidth="1"/>
    <col min="2050" max="2050" width="48.7109375" customWidth="1"/>
    <col min="2051" max="2051" width="22.42578125" customWidth="1"/>
    <col min="2052" max="2055" width="14.7109375" customWidth="1"/>
    <col min="2056" max="2056" width="0" hidden="1" customWidth="1"/>
    <col min="2057" max="2057" width="22.42578125" customWidth="1"/>
    <col min="2305" max="2305" width="7.5703125" customWidth="1"/>
    <col min="2306" max="2306" width="48.7109375" customWidth="1"/>
    <col min="2307" max="2307" width="22.42578125" customWidth="1"/>
    <col min="2308" max="2311" width="14.7109375" customWidth="1"/>
    <col min="2312" max="2312" width="0" hidden="1" customWidth="1"/>
    <col min="2313" max="2313" width="22.42578125" customWidth="1"/>
    <col min="2561" max="2561" width="7.5703125" customWidth="1"/>
    <col min="2562" max="2562" width="48.7109375" customWidth="1"/>
    <col min="2563" max="2563" width="22.42578125" customWidth="1"/>
    <col min="2564" max="2567" width="14.7109375" customWidth="1"/>
    <col min="2568" max="2568" width="0" hidden="1" customWidth="1"/>
    <col min="2569" max="2569" width="22.42578125" customWidth="1"/>
    <col min="2817" max="2817" width="7.5703125" customWidth="1"/>
    <col min="2818" max="2818" width="48.7109375" customWidth="1"/>
    <col min="2819" max="2819" width="22.42578125" customWidth="1"/>
    <col min="2820" max="2823" width="14.7109375" customWidth="1"/>
    <col min="2824" max="2824" width="0" hidden="1" customWidth="1"/>
    <col min="2825" max="2825" width="22.42578125" customWidth="1"/>
    <col min="3073" max="3073" width="7.5703125" customWidth="1"/>
    <col min="3074" max="3074" width="48.7109375" customWidth="1"/>
    <col min="3075" max="3075" width="22.42578125" customWidth="1"/>
    <col min="3076" max="3079" width="14.7109375" customWidth="1"/>
    <col min="3080" max="3080" width="0" hidden="1" customWidth="1"/>
    <col min="3081" max="3081" width="22.42578125" customWidth="1"/>
    <col min="3329" max="3329" width="7.5703125" customWidth="1"/>
    <col min="3330" max="3330" width="48.7109375" customWidth="1"/>
    <col min="3331" max="3331" width="22.42578125" customWidth="1"/>
    <col min="3332" max="3335" width="14.7109375" customWidth="1"/>
    <col min="3336" max="3336" width="0" hidden="1" customWidth="1"/>
    <col min="3337" max="3337" width="22.42578125" customWidth="1"/>
    <col min="3585" max="3585" width="7.5703125" customWidth="1"/>
    <col min="3586" max="3586" width="48.7109375" customWidth="1"/>
    <col min="3587" max="3587" width="22.42578125" customWidth="1"/>
    <col min="3588" max="3591" width="14.7109375" customWidth="1"/>
    <col min="3592" max="3592" width="0" hidden="1" customWidth="1"/>
    <col min="3593" max="3593" width="22.42578125" customWidth="1"/>
    <col min="3841" max="3841" width="7.5703125" customWidth="1"/>
    <col min="3842" max="3842" width="48.7109375" customWidth="1"/>
    <col min="3843" max="3843" width="22.42578125" customWidth="1"/>
    <col min="3844" max="3847" width="14.7109375" customWidth="1"/>
    <col min="3848" max="3848" width="0" hidden="1" customWidth="1"/>
    <col min="3849" max="3849" width="22.42578125" customWidth="1"/>
    <col min="4097" max="4097" width="7.5703125" customWidth="1"/>
    <col min="4098" max="4098" width="48.7109375" customWidth="1"/>
    <col min="4099" max="4099" width="22.42578125" customWidth="1"/>
    <col min="4100" max="4103" width="14.7109375" customWidth="1"/>
    <col min="4104" max="4104" width="0" hidden="1" customWidth="1"/>
    <col min="4105" max="4105" width="22.42578125" customWidth="1"/>
    <col min="4353" max="4353" width="7.5703125" customWidth="1"/>
    <col min="4354" max="4354" width="48.7109375" customWidth="1"/>
    <col min="4355" max="4355" width="22.42578125" customWidth="1"/>
    <col min="4356" max="4359" width="14.7109375" customWidth="1"/>
    <col min="4360" max="4360" width="0" hidden="1" customWidth="1"/>
    <col min="4361" max="4361" width="22.42578125" customWidth="1"/>
    <col min="4609" max="4609" width="7.5703125" customWidth="1"/>
    <col min="4610" max="4610" width="48.7109375" customWidth="1"/>
    <col min="4611" max="4611" width="22.42578125" customWidth="1"/>
    <col min="4612" max="4615" width="14.7109375" customWidth="1"/>
    <col min="4616" max="4616" width="0" hidden="1" customWidth="1"/>
    <col min="4617" max="4617" width="22.42578125" customWidth="1"/>
    <col min="4865" max="4865" width="7.5703125" customWidth="1"/>
    <col min="4866" max="4866" width="48.7109375" customWidth="1"/>
    <col min="4867" max="4867" width="22.42578125" customWidth="1"/>
    <col min="4868" max="4871" width="14.7109375" customWidth="1"/>
    <col min="4872" max="4872" width="0" hidden="1" customWidth="1"/>
    <col min="4873" max="4873" width="22.42578125" customWidth="1"/>
    <col min="5121" max="5121" width="7.5703125" customWidth="1"/>
    <col min="5122" max="5122" width="48.7109375" customWidth="1"/>
    <col min="5123" max="5123" width="22.42578125" customWidth="1"/>
    <col min="5124" max="5127" width="14.7109375" customWidth="1"/>
    <col min="5128" max="5128" width="0" hidden="1" customWidth="1"/>
    <col min="5129" max="5129" width="22.42578125" customWidth="1"/>
    <col min="5377" max="5377" width="7.5703125" customWidth="1"/>
    <col min="5378" max="5378" width="48.7109375" customWidth="1"/>
    <col min="5379" max="5379" width="22.42578125" customWidth="1"/>
    <col min="5380" max="5383" width="14.7109375" customWidth="1"/>
    <col min="5384" max="5384" width="0" hidden="1" customWidth="1"/>
    <col min="5385" max="5385" width="22.42578125" customWidth="1"/>
    <col min="5633" max="5633" width="7.5703125" customWidth="1"/>
    <col min="5634" max="5634" width="48.7109375" customWidth="1"/>
    <col min="5635" max="5635" width="22.42578125" customWidth="1"/>
    <col min="5636" max="5639" width="14.7109375" customWidth="1"/>
    <col min="5640" max="5640" width="0" hidden="1" customWidth="1"/>
    <col min="5641" max="5641" width="22.42578125" customWidth="1"/>
    <col min="5889" max="5889" width="7.5703125" customWidth="1"/>
    <col min="5890" max="5890" width="48.7109375" customWidth="1"/>
    <col min="5891" max="5891" width="22.42578125" customWidth="1"/>
    <col min="5892" max="5895" width="14.7109375" customWidth="1"/>
    <col min="5896" max="5896" width="0" hidden="1" customWidth="1"/>
    <col min="5897" max="5897" width="22.42578125" customWidth="1"/>
    <col min="6145" max="6145" width="7.5703125" customWidth="1"/>
    <col min="6146" max="6146" width="48.7109375" customWidth="1"/>
    <col min="6147" max="6147" width="22.42578125" customWidth="1"/>
    <col min="6148" max="6151" width="14.7109375" customWidth="1"/>
    <col min="6152" max="6152" width="0" hidden="1" customWidth="1"/>
    <col min="6153" max="6153" width="22.42578125" customWidth="1"/>
    <col min="6401" max="6401" width="7.5703125" customWidth="1"/>
    <col min="6402" max="6402" width="48.7109375" customWidth="1"/>
    <col min="6403" max="6403" width="22.42578125" customWidth="1"/>
    <col min="6404" max="6407" width="14.7109375" customWidth="1"/>
    <col min="6408" max="6408" width="0" hidden="1" customWidth="1"/>
    <col min="6409" max="6409" width="22.42578125" customWidth="1"/>
    <col min="6657" max="6657" width="7.5703125" customWidth="1"/>
    <col min="6658" max="6658" width="48.7109375" customWidth="1"/>
    <col min="6659" max="6659" width="22.42578125" customWidth="1"/>
    <col min="6660" max="6663" width="14.7109375" customWidth="1"/>
    <col min="6664" max="6664" width="0" hidden="1" customWidth="1"/>
    <col min="6665" max="6665" width="22.42578125" customWidth="1"/>
    <col min="6913" max="6913" width="7.5703125" customWidth="1"/>
    <col min="6914" max="6914" width="48.7109375" customWidth="1"/>
    <col min="6915" max="6915" width="22.42578125" customWidth="1"/>
    <col min="6916" max="6919" width="14.7109375" customWidth="1"/>
    <col min="6920" max="6920" width="0" hidden="1" customWidth="1"/>
    <col min="6921" max="6921" width="22.42578125" customWidth="1"/>
    <col min="7169" max="7169" width="7.5703125" customWidth="1"/>
    <col min="7170" max="7170" width="48.7109375" customWidth="1"/>
    <col min="7171" max="7171" width="22.42578125" customWidth="1"/>
    <col min="7172" max="7175" width="14.7109375" customWidth="1"/>
    <col min="7176" max="7176" width="0" hidden="1" customWidth="1"/>
    <col min="7177" max="7177" width="22.42578125" customWidth="1"/>
    <col min="7425" max="7425" width="7.5703125" customWidth="1"/>
    <col min="7426" max="7426" width="48.7109375" customWidth="1"/>
    <col min="7427" max="7427" width="22.42578125" customWidth="1"/>
    <col min="7428" max="7431" width="14.7109375" customWidth="1"/>
    <col min="7432" max="7432" width="0" hidden="1" customWidth="1"/>
    <col min="7433" max="7433" width="22.42578125" customWidth="1"/>
    <col min="7681" max="7681" width="7.5703125" customWidth="1"/>
    <col min="7682" max="7682" width="48.7109375" customWidth="1"/>
    <col min="7683" max="7683" width="22.42578125" customWidth="1"/>
    <col min="7684" max="7687" width="14.7109375" customWidth="1"/>
    <col min="7688" max="7688" width="0" hidden="1" customWidth="1"/>
    <col min="7689" max="7689" width="22.42578125" customWidth="1"/>
    <col min="7937" max="7937" width="7.5703125" customWidth="1"/>
    <col min="7938" max="7938" width="48.7109375" customWidth="1"/>
    <col min="7939" max="7939" width="22.42578125" customWidth="1"/>
    <col min="7940" max="7943" width="14.7109375" customWidth="1"/>
    <col min="7944" max="7944" width="0" hidden="1" customWidth="1"/>
    <col min="7945" max="7945" width="22.42578125" customWidth="1"/>
    <col min="8193" max="8193" width="7.5703125" customWidth="1"/>
    <col min="8194" max="8194" width="48.7109375" customWidth="1"/>
    <col min="8195" max="8195" width="22.42578125" customWidth="1"/>
    <col min="8196" max="8199" width="14.7109375" customWidth="1"/>
    <col min="8200" max="8200" width="0" hidden="1" customWidth="1"/>
    <col min="8201" max="8201" width="22.42578125" customWidth="1"/>
    <col min="8449" max="8449" width="7.5703125" customWidth="1"/>
    <col min="8450" max="8450" width="48.7109375" customWidth="1"/>
    <col min="8451" max="8451" width="22.42578125" customWidth="1"/>
    <col min="8452" max="8455" width="14.7109375" customWidth="1"/>
    <col min="8456" max="8456" width="0" hidden="1" customWidth="1"/>
    <col min="8457" max="8457" width="22.42578125" customWidth="1"/>
    <col min="8705" max="8705" width="7.5703125" customWidth="1"/>
    <col min="8706" max="8706" width="48.7109375" customWidth="1"/>
    <col min="8707" max="8707" width="22.42578125" customWidth="1"/>
    <col min="8708" max="8711" width="14.7109375" customWidth="1"/>
    <col min="8712" max="8712" width="0" hidden="1" customWidth="1"/>
    <col min="8713" max="8713" width="22.42578125" customWidth="1"/>
    <col min="8961" max="8961" width="7.5703125" customWidth="1"/>
    <col min="8962" max="8962" width="48.7109375" customWidth="1"/>
    <col min="8963" max="8963" width="22.42578125" customWidth="1"/>
    <col min="8964" max="8967" width="14.7109375" customWidth="1"/>
    <col min="8968" max="8968" width="0" hidden="1" customWidth="1"/>
    <col min="8969" max="8969" width="22.42578125" customWidth="1"/>
    <col min="9217" max="9217" width="7.5703125" customWidth="1"/>
    <col min="9218" max="9218" width="48.7109375" customWidth="1"/>
    <col min="9219" max="9219" width="22.42578125" customWidth="1"/>
    <col min="9220" max="9223" width="14.7109375" customWidth="1"/>
    <col min="9224" max="9224" width="0" hidden="1" customWidth="1"/>
    <col min="9225" max="9225" width="22.42578125" customWidth="1"/>
    <col min="9473" max="9473" width="7.5703125" customWidth="1"/>
    <col min="9474" max="9474" width="48.7109375" customWidth="1"/>
    <col min="9475" max="9475" width="22.42578125" customWidth="1"/>
    <col min="9476" max="9479" width="14.7109375" customWidth="1"/>
    <col min="9480" max="9480" width="0" hidden="1" customWidth="1"/>
    <col min="9481" max="9481" width="22.42578125" customWidth="1"/>
    <col min="9729" max="9729" width="7.5703125" customWidth="1"/>
    <col min="9730" max="9730" width="48.7109375" customWidth="1"/>
    <col min="9731" max="9731" width="22.42578125" customWidth="1"/>
    <col min="9732" max="9735" width="14.7109375" customWidth="1"/>
    <col min="9736" max="9736" width="0" hidden="1" customWidth="1"/>
    <col min="9737" max="9737" width="22.42578125" customWidth="1"/>
    <col min="9985" max="9985" width="7.5703125" customWidth="1"/>
    <col min="9986" max="9986" width="48.7109375" customWidth="1"/>
    <col min="9987" max="9987" width="22.42578125" customWidth="1"/>
    <col min="9988" max="9991" width="14.7109375" customWidth="1"/>
    <col min="9992" max="9992" width="0" hidden="1" customWidth="1"/>
    <col min="9993" max="9993" width="22.42578125" customWidth="1"/>
    <col min="10241" max="10241" width="7.5703125" customWidth="1"/>
    <col min="10242" max="10242" width="48.7109375" customWidth="1"/>
    <col min="10243" max="10243" width="22.42578125" customWidth="1"/>
    <col min="10244" max="10247" width="14.7109375" customWidth="1"/>
    <col min="10248" max="10248" width="0" hidden="1" customWidth="1"/>
    <col min="10249" max="10249" width="22.42578125" customWidth="1"/>
    <col min="10497" max="10497" width="7.5703125" customWidth="1"/>
    <col min="10498" max="10498" width="48.7109375" customWidth="1"/>
    <col min="10499" max="10499" width="22.42578125" customWidth="1"/>
    <col min="10500" max="10503" width="14.7109375" customWidth="1"/>
    <col min="10504" max="10504" width="0" hidden="1" customWidth="1"/>
    <col min="10505" max="10505" width="22.42578125" customWidth="1"/>
    <col min="10753" max="10753" width="7.5703125" customWidth="1"/>
    <col min="10754" max="10754" width="48.7109375" customWidth="1"/>
    <col min="10755" max="10755" width="22.42578125" customWidth="1"/>
    <col min="10756" max="10759" width="14.7109375" customWidth="1"/>
    <col min="10760" max="10760" width="0" hidden="1" customWidth="1"/>
    <col min="10761" max="10761" width="22.42578125" customWidth="1"/>
    <col min="11009" max="11009" width="7.5703125" customWidth="1"/>
    <col min="11010" max="11010" width="48.7109375" customWidth="1"/>
    <col min="11011" max="11011" width="22.42578125" customWidth="1"/>
    <col min="11012" max="11015" width="14.7109375" customWidth="1"/>
    <col min="11016" max="11016" width="0" hidden="1" customWidth="1"/>
    <col min="11017" max="11017" width="22.42578125" customWidth="1"/>
    <col min="11265" max="11265" width="7.5703125" customWidth="1"/>
    <col min="11266" max="11266" width="48.7109375" customWidth="1"/>
    <col min="11267" max="11267" width="22.42578125" customWidth="1"/>
    <col min="11268" max="11271" width="14.7109375" customWidth="1"/>
    <col min="11272" max="11272" width="0" hidden="1" customWidth="1"/>
    <col min="11273" max="11273" width="22.42578125" customWidth="1"/>
    <col min="11521" max="11521" width="7.5703125" customWidth="1"/>
    <col min="11522" max="11522" width="48.7109375" customWidth="1"/>
    <col min="11523" max="11523" width="22.42578125" customWidth="1"/>
    <col min="11524" max="11527" width="14.7109375" customWidth="1"/>
    <col min="11528" max="11528" width="0" hidden="1" customWidth="1"/>
    <col min="11529" max="11529" width="22.42578125" customWidth="1"/>
    <col min="11777" max="11777" width="7.5703125" customWidth="1"/>
    <col min="11778" max="11778" width="48.7109375" customWidth="1"/>
    <col min="11779" max="11779" width="22.42578125" customWidth="1"/>
    <col min="11780" max="11783" width="14.7109375" customWidth="1"/>
    <col min="11784" max="11784" width="0" hidden="1" customWidth="1"/>
    <col min="11785" max="11785" width="22.42578125" customWidth="1"/>
    <col min="12033" max="12033" width="7.5703125" customWidth="1"/>
    <col min="12034" max="12034" width="48.7109375" customWidth="1"/>
    <col min="12035" max="12035" width="22.42578125" customWidth="1"/>
    <col min="12036" max="12039" width="14.7109375" customWidth="1"/>
    <col min="12040" max="12040" width="0" hidden="1" customWidth="1"/>
    <col min="12041" max="12041" width="22.42578125" customWidth="1"/>
    <col min="12289" max="12289" width="7.5703125" customWidth="1"/>
    <col min="12290" max="12290" width="48.7109375" customWidth="1"/>
    <col min="12291" max="12291" width="22.42578125" customWidth="1"/>
    <col min="12292" max="12295" width="14.7109375" customWidth="1"/>
    <col min="12296" max="12296" width="0" hidden="1" customWidth="1"/>
    <col min="12297" max="12297" width="22.42578125" customWidth="1"/>
    <col min="12545" max="12545" width="7.5703125" customWidth="1"/>
    <col min="12546" max="12546" width="48.7109375" customWidth="1"/>
    <col min="12547" max="12547" width="22.42578125" customWidth="1"/>
    <col min="12548" max="12551" width="14.7109375" customWidth="1"/>
    <col min="12552" max="12552" width="0" hidden="1" customWidth="1"/>
    <col min="12553" max="12553" width="22.42578125" customWidth="1"/>
    <col min="12801" max="12801" width="7.5703125" customWidth="1"/>
    <col min="12802" max="12802" width="48.7109375" customWidth="1"/>
    <col min="12803" max="12803" width="22.42578125" customWidth="1"/>
    <col min="12804" max="12807" width="14.7109375" customWidth="1"/>
    <col min="12808" max="12808" width="0" hidden="1" customWidth="1"/>
    <col min="12809" max="12809" width="22.42578125" customWidth="1"/>
    <col min="13057" max="13057" width="7.5703125" customWidth="1"/>
    <col min="13058" max="13058" width="48.7109375" customWidth="1"/>
    <col min="13059" max="13059" width="22.42578125" customWidth="1"/>
    <col min="13060" max="13063" width="14.7109375" customWidth="1"/>
    <col min="13064" max="13064" width="0" hidden="1" customWidth="1"/>
    <col min="13065" max="13065" width="22.42578125" customWidth="1"/>
    <col min="13313" max="13313" width="7.5703125" customWidth="1"/>
    <col min="13314" max="13314" width="48.7109375" customWidth="1"/>
    <col min="13315" max="13315" width="22.42578125" customWidth="1"/>
    <col min="13316" max="13319" width="14.7109375" customWidth="1"/>
    <col min="13320" max="13320" width="0" hidden="1" customWidth="1"/>
    <col min="13321" max="13321" width="22.42578125" customWidth="1"/>
    <col min="13569" max="13569" width="7.5703125" customWidth="1"/>
    <col min="13570" max="13570" width="48.7109375" customWidth="1"/>
    <col min="13571" max="13571" width="22.42578125" customWidth="1"/>
    <col min="13572" max="13575" width="14.7109375" customWidth="1"/>
    <col min="13576" max="13576" width="0" hidden="1" customWidth="1"/>
    <col min="13577" max="13577" width="22.42578125" customWidth="1"/>
    <col min="13825" max="13825" width="7.5703125" customWidth="1"/>
    <col min="13826" max="13826" width="48.7109375" customWidth="1"/>
    <col min="13827" max="13827" width="22.42578125" customWidth="1"/>
    <col min="13828" max="13831" width="14.7109375" customWidth="1"/>
    <col min="13832" max="13832" width="0" hidden="1" customWidth="1"/>
    <col min="13833" max="13833" width="22.42578125" customWidth="1"/>
    <col min="14081" max="14081" width="7.5703125" customWidth="1"/>
    <col min="14082" max="14082" width="48.7109375" customWidth="1"/>
    <col min="14083" max="14083" width="22.42578125" customWidth="1"/>
    <col min="14084" max="14087" width="14.7109375" customWidth="1"/>
    <col min="14088" max="14088" width="0" hidden="1" customWidth="1"/>
    <col min="14089" max="14089" width="22.42578125" customWidth="1"/>
    <col min="14337" max="14337" width="7.5703125" customWidth="1"/>
    <col min="14338" max="14338" width="48.7109375" customWidth="1"/>
    <col min="14339" max="14339" width="22.42578125" customWidth="1"/>
    <col min="14340" max="14343" width="14.7109375" customWidth="1"/>
    <col min="14344" max="14344" width="0" hidden="1" customWidth="1"/>
    <col min="14345" max="14345" width="22.42578125" customWidth="1"/>
    <col min="14593" max="14593" width="7.5703125" customWidth="1"/>
    <col min="14594" max="14594" width="48.7109375" customWidth="1"/>
    <col min="14595" max="14595" width="22.42578125" customWidth="1"/>
    <col min="14596" max="14599" width="14.7109375" customWidth="1"/>
    <col min="14600" max="14600" width="0" hidden="1" customWidth="1"/>
    <col min="14601" max="14601" width="22.42578125" customWidth="1"/>
    <col min="14849" max="14849" width="7.5703125" customWidth="1"/>
    <col min="14850" max="14850" width="48.7109375" customWidth="1"/>
    <col min="14851" max="14851" width="22.42578125" customWidth="1"/>
    <col min="14852" max="14855" width="14.7109375" customWidth="1"/>
    <col min="14856" max="14856" width="0" hidden="1" customWidth="1"/>
    <col min="14857" max="14857" width="22.42578125" customWidth="1"/>
    <col min="15105" max="15105" width="7.5703125" customWidth="1"/>
    <col min="15106" max="15106" width="48.7109375" customWidth="1"/>
    <col min="15107" max="15107" width="22.42578125" customWidth="1"/>
    <col min="15108" max="15111" width="14.7109375" customWidth="1"/>
    <col min="15112" max="15112" width="0" hidden="1" customWidth="1"/>
    <col min="15113" max="15113" width="22.42578125" customWidth="1"/>
    <col min="15361" max="15361" width="7.5703125" customWidth="1"/>
    <col min="15362" max="15362" width="48.7109375" customWidth="1"/>
    <col min="15363" max="15363" width="22.42578125" customWidth="1"/>
    <col min="15364" max="15367" width="14.7109375" customWidth="1"/>
    <col min="15368" max="15368" width="0" hidden="1" customWidth="1"/>
    <col min="15369" max="15369" width="22.42578125" customWidth="1"/>
    <col min="15617" max="15617" width="7.5703125" customWidth="1"/>
    <col min="15618" max="15618" width="48.7109375" customWidth="1"/>
    <col min="15619" max="15619" width="22.42578125" customWidth="1"/>
    <col min="15620" max="15623" width="14.7109375" customWidth="1"/>
    <col min="15624" max="15624" width="0" hidden="1" customWidth="1"/>
    <col min="15625" max="15625" width="22.42578125" customWidth="1"/>
    <col min="15873" max="15873" width="7.5703125" customWidth="1"/>
    <col min="15874" max="15874" width="48.7109375" customWidth="1"/>
    <col min="15875" max="15875" width="22.42578125" customWidth="1"/>
    <col min="15876" max="15879" width="14.7109375" customWidth="1"/>
    <col min="15880" max="15880" width="0" hidden="1" customWidth="1"/>
    <col min="15881" max="15881" width="22.42578125" customWidth="1"/>
    <col min="16129" max="16129" width="7.5703125" customWidth="1"/>
    <col min="16130" max="16130" width="48.7109375" customWidth="1"/>
    <col min="16131" max="16131" width="22.42578125" customWidth="1"/>
    <col min="16132" max="16135" width="14.7109375" customWidth="1"/>
    <col min="16136" max="16136" width="0" hidden="1" customWidth="1"/>
    <col min="16137" max="16137" width="22.42578125" customWidth="1"/>
  </cols>
  <sheetData>
    <row r="1" spans="1:10" ht="15.75" x14ac:dyDescent="0.25">
      <c r="A1" s="155" t="s">
        <v>213</v>
      </c>
      <c r="B1" s="155"/>
      <c r="C1" s="155"/>
      <c r="D1" s="155"/>
      <c r="E1" s="155"/>
      <c r="F1" s="155"/>
      <c r="G1" s="155"/>
      <c r="H1" s="155"/>
      <c r="I1" s="155"/>
    </row>
    <row r="2" spans="1:10" ht="15.75" x14ac:dyDescent="0.25">
      <c r="A2" s="156" t="s">
        <v>214</v>
      </c>
      <c r="B2" s="156"/>
      <c r="C2" s="156"/>
      <c r="D2" s="156"/>
      <c r="E2" s="156"/>
      <c r="F2" s="156"/>
      <c r="G2" s="156"/>
      <c r="H2" s="156"/>
      <c r="I2" s="156"/>
    </row>
    <row r="3" spans="1:10" ht="15.75" x14ac:dyDescent="0.25">
      <c r="A3" s="84"/>
      <c r="B3" s="84"/>
      <c r="C3" s="84"/>
      <c r="D3" s="84"/>
      <c r="E3" s="84"/>
      <c r="F3" s="84"/>
      <c r="G3" s="84"/>
      <c r="H3" s="84"/>
      <c r="I3" s="99"/>
    </row>
    <row r="4" spans="1:10" ht="15.75" x14ac:dyDescent="0.25">
      <c r="A4" s="191" t="s">
        <v>172</v>
      </c>
      <c r="B4" s="191" t="s">
        <v>215</v>
      </c>
      <c r="C4" s="191" t="s">
        <v>216</v>
      </c>
      <c r="D4" s="193" t="s">
        <v>217</v>
      </c>
      <c r="E4" s="194"/>
      <c r="F4" s="194"/>
      <c r="G4" s="194"/>
      <c r="H4" s="195"/>
      <c r="I4" s="196" t="s">
        <v>218</v>
      </c>
    </row>
    <row r="5" spans="1:10" ht="15.75" x14ac:dyDescent="0.25">
      <c r="A5" s="191"/>
      <c r="B5" s="191"/>
      <c r="C5" s="191"/>
      <c r="D5" s="65" t="s">
        <v>219</v>
      </c>
      <c r="E5" s="65" t="s">
        <v>220</v>
      </c>
      <c r="F5" s="65" t="s">
        <v>221</v>
      </c>
      <c r="G5" s="65" t="s">
        <v>222</v>
      </c>
      <c r="H5" s="65" t="s">
        <v>223</v>
      </c>
      <c r="I5" s="197"/>
    </row>
    <row r="6" spans="1:10" s="87" customFormat="1" ht="15.75" x14ac:dyDescent="0.2">
      <c r="A6" s="65">
        <v>1</v>
      </c>
      <c r="B6" s="65">
        <v>2</v>
      </c>
      <c r="C6" s="65">
        <v>3</v>
      </c>
      <c r="D6" s="65">
        <v>4</v>
      </c>
      <c r="E6" s="65">
        <v>5</v>
      </c>
      <c r="F6" s="65">
        <v>6</v>
      </c>
      <c r="G6" s="65">
        <v>7</v>
      </c>
      <c r="H6" s="65">
        <v>8</v>
      </c>
      <c r="I6" s="65">
        <v>8</v>
      </c>
    </row>
    <row r="7" spans="1:10" s="62" customFormat="1" ht="63" x14ac:dyDescent="0.2">
      <c r="A7" s="97">
        <v>1</v>
      </c>
      <c r="B7" s="100" t="s">
        <v>224</v>
      </c>
      <c r="C7" s="98">
        <v>98</v>
      </c>
      <c r="D7" s="98">
        <v>98</v>
      </c>
      <c r="E7" s="98">
        <v>98</v>
      </c>
      <c r="F7" s="98">
        <v>98</v>
      </c>
      <c r="G7" s="98">
        <v>98</v>
      </c>
      <c r="H7" s="98">
        <v>98</v>
      </c>
      <c r="I7" s="98">
        <v>98</v>
      </c>
    </row>
    <row r="8" spans="1:10" s="102" customFormat="1" ht="63" x14ac:dyDescent="0.2">
      <c r="A8" s="101">
        <v>2</v>
      </c>
      <c r="B8" s="100" t="s">
        <v>225</v>
      </c>
      <c r="C8" s="63">
        <v>33</v>
      </c>
      <c r="D8" s="63">
        <v>35</v>
      </c>
      <c r="E8" s="63">
        <v>37</v>
      </c>
      <c r="F8" s="63">
        <v>38</v>
      </c>
      <c r="G8" s="63">
        <v>39</v>
      </c>
      <c r="H8" s="63">
        <v>39</v>
      </c>
      <c r="I8" s="63">
        <v>39</v>
      </c>
    </row>
    <row r="9" spans="1:10" s="102" customFormat="1" ht="31.5" x14ac:dyDescent="0.2">
      <c r="A9" s="101">
        <v>3</v>
      </c>
      <c r="B9" s="100" t="s">
        <v>226</v>
      </c>
      <c r="C9" s="63">
        <v>0</v>
      </c>
      <c r="D9" s="63">
        <v>0</v>
      </c>
      <c r="E9" s="63">
        <v>0</v>
      </c>
      <c r="F9" s="63">
        <v>0</v>
      </c>
      <c r="G9" s="63">
        <v>0</v>
      </c>
      <c r="H9" s="63">
        <f>900+250+35</f>
        <v>1185</v>
      </c>
      <c r="I9" s="50">
        <f>900+250+35-250</f>
        <v>935</v>
      </c>
    </row>
    <row r="10" spans="1:10" s="107" customFormat="1" ht="184.5" customHeight="1" x14ac:dyDescent="0.25">
      <c r="A10" s="103">
        <v>4</v>
      </c>
      <c r="B10" s="104" t="s">
        <v>227</v>
      </c>
      <c r="C10" s="105">
        <v>90</v>
      </c>
      <c r="D10" s="105">
        <v>90</v>
      </c>
      <c r="E10" s="105">
        <v>90</v>
      </c>
      <c r="F10" s="105">
        <v>90</v>
      </c>
      <c r="G10" s="105">
        <v>90</v>
      </c>
      <c r="H10" s="105"/>
      <c r="I10" s="105">
        <v>90</v>
      </c>
      <c r="J10" s="106"/>
    </row>
    <row r="11" spans="1:10" ht="267.75" x14ac:dyDescent="0.25">
      <c r="A11" s="101">
        <v>5</v>
      </c>
      <c r="B11" s="108" t="s">
        <v>228</v>
      </c>
      <c r="C11" s="109">
        <v>25</v>
      </c>
      <c r="D11" s="109">
        <v>25</v>
      </c>
      <c r="E11" s="109">
        <v>25</v>
      </c>
      <c r="F11" s="109">
        <v>25</v>
      </c>
      <c r="G11" s="109">
        <v>25</v>
      </c>
      <c r="H11" s="109"/>
      <c r="I11" s="109">
        <v>25</v>
      </c>
    </row>
    <row r="12" spans="1:10" ht="78.75" x14ac:dyDescent="0.25">
      <c r="A12" s="101">
        <v>6</v>
      </c>
      <c r="B12" s="110" t="s">
        <v>229</v>
      </c>
      <c r="C12" s="109">
        <v>25</v>
      </c>
      <c r="D12" s="109">
        <v>25</v>
      </c>
      <c r="E12" s="109">
        <v>25</v>
      </c>
      <c r="F12" s="109">
        <v>25</v>
      </c>
      <c r="G12" s="109">
        <v>25</v>
      </c>
      <c r="H12" s="109"/>
      <c r="I12" s="109">
        <v>25</v>
      </c>
      <c r="J12" t="s">
        <v>230</v>
      </c>
    </row>
  </sheetData>
  <mergeCells count="7">
    <mergeCell ref="A1:I1"/>
    <mergeCell ref="A2:I2"/>
    <mergeCell ref="A4:A5"/>
    <mergeCell ref="B4:B5"/>
    <mergeCell ref="C4:C5"/>
    <mergeCell ref="D4:H4"/>
    <mergeCell ref="I4:I5"/>
  </mergeCells>
  <pageMargins left="0.7" right="0.7" top="0.75" bottom="0.75" header="0.3" footer="0.3"/>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3</vt:i4>
      </vt:variant>
    </vt:vector>
  </HeadingPairs>
  <TitlesOfParts>
    <vt:vector size="10" baseType="lpstr">
      <vt:lpstr>таблица 2</vt:lpstr>
      <vt:lpstr>таблица 3</vt:lpstr>
      <vt:lpstr>таблица 4</vt:lpstr>
      <vt:lpstr>таблица 5</vt:lpstr>
      <vt:lpstr>таблица 6</vt:lpstr>
      <vt:lpstr>таблица 7</vt:lpstr>
      <vt:lpstr>таблица 8</vt:lpstr>
      <vt:lpstr>'таблица 2'!Заголовки_для_печати</vt:lpstr>
      <vt:lpstr>'таблица 2'!Область_печати</vt:lpstr>
      <vt:lpstr>'таблица 8'!Область_печати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Жернова Алена Михайловна</dc:creator>
  <cp:lastModifiedBy>Лукашева Лариса Александровна</cp:lastModifiedBy>
  <cp:lastPrinted>2024-12-24T03:08:52Z</cp:lastPrinted>
  <dcterms:created xsi:type="dcterms:W3CDTF">2016-07-20T07:20:43Z</dcterms:created>
  <dcterms:modified xsi:type="dcterms:W3CDTF">2024-12-24T03:08:54Z</dcterms:modified>
</cp:coreProperties>
</file>