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345\"/>
    </mc:Choice>
  </mc:AlternateContent>
  <xr:revisionPtr revIDLastSave="0" documentId="13_ncr:1_{B8EA731D-09E1-42E9-89FB-697DE694D785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1" r:id="rId1"/>
    <sheet name="Таблица 3" sheetId="2" r:id="rId2"/>
    <sheet name="Таблица 4" sheetId="13" r:id="rId3"/>
    <sheet name="Таблица 5" sheetId="14" r:id="rId4"/>
    <sheet name="Таблица 6" sheetId="11" r:id="rId5"/>
    <sheet name="Таблица 7" sheetId="12" r:id="rId6"/>
    <sheet name="Таблица 8" sheetId="7" r:id="rId7"/>
  </sheets>
  <definedNames>
    <definedName name="_xlnm.Print_Area" localSheetId="0">'Таблица 2'!$A$1:$J$230</definedName>
    <definedName name="_xlnm.Print_Area" localSheetId="1">'Таблица 3'!$A$1:$D$27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8" i="1" l="1"/>
  <c r="G217" i="1" s="1"/>
  <c r="G210" i="1"/>
  <c r="G180" i="1"/>
  <c r="G224" i="1"/>
  <c r="G229" i="1"/>
  <c r="G34" i="1"/>
  <c r="G212" i="1"/>
  <c r="G97" i="1"/>
  <c r="G182" i="1"/>
  <c r="F220" i="1"/>
  <c r="G220" i="1"/>
  <c r="G219" i="1"/>
  <c r="G227" i="1"/>
  <c r="G161" i="1"/>
  <c r="G147" i="1"/>
  <c r="G119" i="1"/>
  <c r="E96" i="1"/>
  <c r="E97" i="1"/>
  <c r="G80" i="1"/>
  <c r="G41" i="1"/>
  <c r="F227" i="1"/>
  <c r="F175" i="1"/>
  <c r="G175" i="1"/>
  <c r="G165" i="1"/>
  <c r="G154" i="1"/>
  <c r="E154" i="1"/>
  <c r="E83" i="1"/>
  <c r="G83" i="1"/>
  <c r="G48" i="1"/>
  <c r="E80" i="1"/>
  <c r="G94" i="1"/>
  <c r="G96" i="1"/>
  <c r="H97" i="1"/>
  <c r="F97" i="1"/>
  <c r="G226" i="1"/>
  <c r="I212" i="1" l="1"/>
  <c r="E165" i="1"/>
  <c r="E167" i="1"/>
  <c r="E158" i="1"/>
  <c r="E161" i="1"/>
  <c r="E160" i="1"/>
  <c r="G158" i="1"/>
  <c r="E170" i="1"/>
  <c r="G156" i="1"/>
  <c r="F64" i="1"/>
  <c r="E15" i="1"/>
  <c r="F15" i="1"/>
  <c r="G40" i="1"/>
  <c r="G47" i="1"/>
  <c r="G160" i="1"/>
  <c r="G167" i="1"/>
  <c r="G145" i="1"/>
  <c r="G153" i="1" l="1"/>
  <c r="G151" i="1" s="1"/>
  <c r="G105" i="1"/>
  <c r="G146" i="1" l="1"/>
  <c r="E146" i="1" s="1"/>
  <c r="G118" i="1"/>
  <c r="G117" i="1"/>
  <c r="F199" i="1"/>
  <c r="E27" i="1"/>
  <c r="E28" i="1"/>
  <c r="E30" i="1"/>
  <c r="E19" i="1"/>
  <c r="E14" i="1"/>
  <c r="E16" i="1"/>
  <c r="E127" i="1"/>
  <c r="E128" i="1"/>
  <c r="E129" i="1"/>
  <c r="E131" i="1"/>
  <c r="E132" i="1"/>
  <c r="E133" i="1"/>
  <c r="E134" i="1"/>
  <c r="E135" i="1"/>
  <c r="E136" i="1"/>
  <c r="E138" i="1"/>
  <c r="E139" i="1"/>
  <c r="E140" i="1"/>
  <c r="E141" i="1"/>
  <c r="E142" i="1"/>
  <c r="E143" i="1"/>
  <c r="E148" i="1"/>
  <c r="E149" i="1"/>
  <c r="E150" i="1"/>
  <c r="E152" i="1"/>
  <c r="E155" i="1"/>
  <c r="E156" i="1"/>
  <c r="E157" i="1"/>
  <c r="E186" i="1"/>
  <c r="E188" i="1"/>
  <c r="E189" i="1"/>
  <c r="E190" i="1"/>
  <c r="E191" i="1"/>
  <c r="E193" i="1"/>
  <c r="E201" i="1"/>
  <c r="E202" i="1"/>
  <c r="E203" i="1"/>
  <c r="E204" i="1"/>
  <c r="E205" i="1"/>
  <c r="E206" i="1"/>
  <c r="E207" i="1"/>
  <c r="E208" i="1"/>
  <c r="E213" i="1"/>
  <c r="E215" i="1"/>
  <c r="E216" i="1"/>
  <c r="E120" i="1"/>
  <c r="E121" i="1"/>
  <c r="E122" i="1"/>
  <c r="E124" i="1"/>
  <c r="E125" i="1"/>
  <c r="E126" i="1"/>
  <c r="E42" i="1"/>
  <c r="E43" i="1"/>
  <c r="E44" i="1"/>
  <c r="E46" i="1"/>
  <c r="E49" i="1"/>
  <c r="E50" i="1"/>
  <c r="E51" i="1"/>
  <c r="E53" i="1"/>
  <c r="E54" i="1"/>
  <c r="E55" i="1"/>
  <c r="E56" i="1"/>
  <c r="E57" i="1"/>
  <c r="E58" i="1"/>
  <c r="E60" i="1"/>
  <c r="E63" i="1"/>
  <c r="E64" i="1"/>
  <c r="E65" i="1"/>
  <c r="E67" i="1"/>
  <c r="E68" i="1"/>
  <c r="E69" i="1"/>
  <c r="E70" i="1"/>
  <c r="E71" i="1"/>
  <c r="E72" i="1"/>
  <c r="E74" i="1"/>
  <c r="E75" i="1"/>
  <c r="E76" i="1"/>
  <c r="E77" i="1"/>
  <c r="E78" i="1"/>
  <c r="E79" i="1"/>
  <c r="E81" i="1"/>
  <c r="E82" i="1"/>
  <c r="E84" i="1"/>
  <c r="E85" i="1"/>
  <c r="E86" i="1"/>
  <c r="E87" i="1"/>
  <c r="E88" i="1"/>
  <c r="E89" i="1"/>
  <c r="E90" i="1"/>
  <c r="E91" i="1"/>
  <c r="E92" i="1"/>
  <c r="E93" i="1"/>
  <c r="E35" i="1"/>
  <c r="E36" i="1"/>
  <c r="E39" i="1"/>
  <c r="F230" i="1"/>
  <c r="F228" i="1"/>
  <c r="F225" i="1"/>
  <c r="F223" i="1"/>
  <c r="F221" i="1"/>
  <c r="F187" i="1"/>
  <c r="E187" i="1" s="1"/>
  <c r="F178" i="1"/>
  <c r="F177" i="1"/>
  <c r="F176" i="1"/>
  <c r="F154" i="1"/>
  <c r="F153" i="1"/>
  <c r="E153" i="1" s="1"/>
  <c r="F147" i="1"/>
  <c r="F145" i="1"/>
  <c r="F137" i="1"/>
  <c r="F130" i="1"/>
  <c r="F123" i="1"/>
  <c r="F119" i="1"/>
  <c r="F118" i="1"/>
  <c r="F117" i="1"/>
  <c r="F109" i="1"/>
  <c r="F102" i="1"/>
  <c r="F98" i="1"/>
  <c r="F95" i="1"/>
  <c r="F80" i="1"/>
  <c r="F73" i="1"/>
  <c r="E73" i="1" s="1"/>
  <c r="F66" i="1"/>
  <c r="E66" i="1" s="1"/>
  <c r="F62" i="1"/>
  <c r="E62" i="1" s="1"/>
  <c r="F61" i="1"/>
  <c r="F52" i="1"/>
  <c r="F48" i="1"/>
  <c r="F47" i="1"/>
  <c r="F41" i="1"/>
  <c r="F40" i="1"/>
  <c r="F37" i="1"/>
  <c r="F100" i="1" s="1"/>
  <c r="F29" i="1"/>
  <c r="F184" i="1" s="1"/>
  <c r="F26" i="1"/>
  <c r="F24" i="1" s="1"/>
  <c r="F17" i="1"/>
  <c r="F13" i="1"/>
  <c r="I41" i="1"/>
  <c r="H41" i="1"/>
  <c r="F144" i="1" l="1"/>
  <c r="F12" i="1"/>
  <c r="F96" i="1" s="1"/>
  <c r="F38" i="1"/>
  <c r="E48" i="1"/>
  <c r="F183" i="1"/>
  <c r="F10" i="1"/>
  <c r="F116" i="1"/>
  <c r="F33" i="1"/>
  <c r="G174" i="1"/>
  <c r="F226" i="1"/>
  <c r="F59" i="1"/>
  <c r="F45" i="1"/>
  <c r="F173" i="1"/>
  <c r="F180" i="1" s="1"/>
  <c r="E47" i="1"/>
  <c r="E29" i="1"/>
  <c r="F192" i="1"/>
  <c r="E192" i="1" s="1"/>
  <c r="E41" i="1"/>
  <c r="F224" i="1"/>
  <c r="F99" i="1"/>
  <c r="F151" i="1"/>
  <c r="F198" i="1"/>
  <c r="F174" i="1"/>
  <c r="E61" i="1"/>
  <c r="E26" i="1"/>
  <c r="E40" i="1"/>
  <c r="F185" i="1"/>
  <c r="F200" i="1"/>
  <c r="F34" i="1"/>
  <c r="F182" i="1" s="1"/>
  <c r="G173" i="1"/>
  <c r="E11" i="1"/>
  <c r="E18" i="1"/>
  <c r="E20" i="1"/>
  <c r="E21" i="1"/>
  <c r="E23" i="1"/>
  <c r="E25" i="1"/>
  <c r="E103" i="1"/>
  <c r="E104" i="1"/>
  <c r="E105" i="1"/>
  <c r="E106" i="1"/>
  <c r="E107" i="1"/>
  <c r="E108" i="1"/>
  <c r="E110" i="1"/>
  <c r="E111" i="1"/>
  <c r="E112" i="1"/>
  <c r="E113" i="1"/>
  <c r="E114" i="1"/>
  <c r="E115" i="1"/>
  <c r="F181" i="1" l="1"/>
  <c r="F196" i="1" s="1"/>
  <c r="F211" i="1" s="1"/>
  <c r="F219" i="1" s="1"/>
  <c r="F172" i="1"/>
  <c r="F195" i="1"/>
  <c r="F210" i="1" s="1"/>
  <c r="E147" i="1"/>
  <c r="F31" i="1"/>
  <c r="F94" i="1" s="1"/>
  <c r="F197" i="1"/>
  <c r="F212" i="1" s="1"/>
  <c r="F214" i="1"/>
  <c r="F229" i="1"/>
  <c r="E145" i="1"/>
  <c r="E17" i="1"/>
  <c r="E102" i="1"/>
  <c r="E109" i="1"/>
  <c r="E24" i="1"/>
  <c r="F194" i="1" l="1"/>
  <c r="F179" i="1"/>
  <c r="F209" i="1"/>
  <c r="F218" i="1"/>
  <c r="F217" i="1" s="1"/>
  <c r="I118" i="1"/>
  <c r="I174" i="1" s="1"/>
  <c r="I119" i="1"/>
  <c r="I175" i="1" s="1"/>
  <c r="I117" i="1"/>
  <c r="I173" i="1" s="1"/>
  <c r="I33" i="1"/>
  <c r="I34" i="1"/>
  <c r="H119" i="1"/>
  <c r="H118" i="1"/>
  <c r="H117" i="1"/>
  <c r="E119" i="1" l="1"/>
  <c r="E117" i="1"/>
  <c r="E118" i="1"/>
  <c r="J220" i="1" l="1"/>
  <c r="J219" i="1"/>
  <c r="I220" i="1"/>
  <c r="I219" i="1"/>
  <c r="I218" i="1"/>
  <c r="J175" i="1"/>
  <c r="J174" i="1"/>
  <c r="J173" i="1"/>
  <c r="H95" i="1"/>
  <c r="G95" i="1"/>
  <c r="I209" i="1"/>
  <c r="J210" i="1"/>
  <c r="E116" i="1" l="1"/>
  <c r="I172" i="1"/>
  <c r="J218" i="1"/>
  <c r="J209" i="1"/>
  <c r="H175" i="1"/>
  <c r="H173" i="1" l="1"/>
  <c r="E173" i="1" s="1"/>
  <c r="H174" i="1" l="1"/>
  <c r="E174" i="1" s="1"/>
  <c r="H11" i="7" l="1"/>
  <c r="G98" i="1" l="1"/>
  <c r="H98" i="1"/>
  <c r="I98" i="1"/>
  <c r="J98" i="1"/>
  <c r="G99" i="1"/>
  <c r="H99" i="1"/>
  <c r="I99" i="1"/>
  <c r="J99" i="1"/>
  <c r="E99" i="1" l="1"/>
  <c r="E98" i="1"/>
  <c r="F11" i="7"/>
  <c r="E11" i="7"/>
  <c r="D11" i="7"/>
  <c r="I221" i="1" l="1"/>
  <c r="I222" i="1"/>
  <c r="I223" i="1"/>
  <c r="I225" i="1"/>
  <c r="I226" i="1"/>
  <c r="I227" i="1"/>
  <c r="I228" i="1"/>
  <c r="I229" i="1"/>
  <c r="I230" i="1"/>
  <c r="I102" i="1"/>
  <c r="I109" i="1"/>
  <c r="I116" i="1"/>
  <c r="I123" i="1"/>
  <c r="I130" i="1"/>
  <c r="I137" i="1"/>
  <c r="I144" i="1"/>
  <c r="I151" i="1"/>
  <c r="I176" i="1"/>
  <c r="I177" i="1"/>
  <c r="I178" i="1"/>
  <c r="I12" i="1"/>
  <c r="I13" i="1"/>
  <c r="I17" i="1"/>
  <c r="I24" i="1"/>
  <c r="I37" i="1"/>
  <c r="I100" i="1" s="1"/>
  <c r="I38" i="1"/>
  <c r="I45" i="1"/>
  <c r="I52" i="1"/>
  <c r="I59" i="1"/>
  <c r="I80" i="1"/>
  <c r="I95" i="1"/>
  <c r="I180" i="1" l="1"/>
  <c r="I97" i="1"/>
  <c r="I96" i="1"/>
  <c r="I183" i="1"/>
  <c r="I198" i="1"/>
  <c r="I200" i="1"/>
  <c r="I184" i="1"/>
  <c r="I199" i="1"/>
  <c r="I195" i="1"/>
  <c r="I185" i="1"/>
  <c r="I10" i="1"/>
  <c r="I217" i="1"/>
  <c r="I31" i="1"/>
  <c r="I224" i="1"/>
  <c r="I196" i="1" l="1"/>
  <c r="I181" i="1"/>
  <c r="I197" i="1"/>
  <c r="I182" i="1"/>
  <c r="I94" i="1"/>
  <c r="H230" i="1"/>
  <c r="H229" i="1"/>
  <c r="H228" i="1"/>
  <c r="H227" i="1"/>
  <c r="H226" i="1"/>
  <c r="H225" i="1"/>
  <c r="H223" i="1"/>
  <c r="H222" i="1"/>
  <c r="H221" i="1"/>
  <c r="H178" i="1"/>
  <c r="H177" i="1"/>
  <c r="H176" i="1"/>
  <c r="H151" i="1"/>
  <c r="H144" i="1"/>
  <c r="H137" i="1"/>
  <c r="H130" i="1"/>
  <c r="H123" i="1"/>
  <c r="H116" i="1"/>
  <c r="H109" i="1"/>
  <c r="H102" i="1"/>
  <c r="H80" i="1"/>
  <c r="H59" i="1"/>
  <c r="H52" i="1"/>
  <c r="H45" i="1"/>
  <c r="H38" i="1"/>
  <c r="H37" i="1"/>
  <c r="H100" i="1" s="1"/>
  <c r="H185" i="1" s="1"/>
  <c r="H34" i="1"/>
  <c r="H33" i="1"/>
  <c r="H24" i="1"/>
  <c r="H17" i="1"/>
  <c r="H13" i="1"/>
  <c r="H12" i="1"/>
  <c r="J230" i="1"/>
  <c r="G230" i="1"/>
  <c r="J229" i="1"/>
  <c r="J228" i="1"/>
  <c r="G228" i="1"/>
  <c r="J227" i="1"/>
  <c r="J226" i="1"/>
  <c r="J225" i="1"/>
  <c r="G225" i="1"/>
  <c r="J223" i="1"/>
  <c r="G223" i="1"/>
  <c r="J222" i="1"/>
  <c r="J221" i="1"/>
  <c r="G221" i="1"/>
  <c r="J178" i="1"/>
  <c r="G178" i="1"/>
  <c r="J177" i="1"/>
  <c r="G177" i="1"/>
  <c r="J176" i="1"/>
  <c r="G176" i="1"/>
  <c r="J151" i="1"/>
  <c r="J144" i="1"/>
  <c r="G144" i="1"/>
  <c r="J137" i="1"/>
  <c r="G137" i="1"/>
  <c r="J130" i="1"/>
  <c r="G130" i="1"/>
  <c r="J123" i="1"/>
  <c r="G123" i="1"/>
  <c r="J116" i="1"/>
  <c r="G116" i="1"/>
  <c r="J109" i="1"/>
  <c r="G109" i="1"/>
  <c r="J102" i="1"/>
  <c r="G102" i="1"/>
  <c r="J95" i="1"/>
  <c r="E95" i="1" s="1"/>
  <c r="J80" i="1"/>
  <c r="J59" i="1"/>
  <c r="G59" i="1"/>
  <c r="J52" i="1"/>
  <c r="G52" i="1"/>
  <c r="J45" i="1"/>
  <c r="G45" i="1"/>
  <c r="J38" i="1"/>
  <c r="G38" i="1"/>
  <c r="J37" i="1"/>
  <c r="J100" i="1" s="1"/>
  <c r="G37" i="1"/>
  <c r="J34" i="1"/>
  <c r="J33" i="1"/>
  <c r="G33" i="1"/>
  <c r="J24" i="1"/>
  <c r="G24" i="1"/>
  <c r="J17" i="1"/>
  <c r="G17" i="1"/>
  <c r="J13" i="1"/>
  <c r="J97" i="1" s="1"/>
  <c r="G13" i="1"/>
  <c r="J12" i="1"/>
  <c r="G12" i="1"/>
  <c r="G31" i="1" l="1"/>
  <c r="E144" i="1"/>
  <c r="E178" i="1"/>
  <c r="E222" i="1"/>
  <c r="E130" i="1"/>
  <c r="E176" i="1"/>
  <c r="E123" i="1"/>
  <c r="E225" i="1"/>
  <c r="E221" i="1"/>
  <c r="E38" i="1"/>
  <c r="E230" i="1"/>
  <c r="E228" i="1"/>
  <c r="E137" i="1"/>
  <c r="E177" i="1"/>
  <c r="E223" i="1"/>
  <c r="E226" i="1"/>
  <c r="E52" i="1"/>
  <c r="E12" i="1"/>
  <c r="E33" i="1"/>
  <c r="G100" i="1"/>
  <c r="E100" i="1" s="1"/>
  <c r="E37" i="1"/>
  <c r="E45" i="1"/>
  <c r="E59" i="1"/>
  <c r="E229" i="1"/>
  <c r="E227" i="1"/>
  <c r="E34" i="1"/>
  <c r="E13" i="1"/>
  <c r="H96" i="1"/>
  <c r="H181" i="1" s="1"/>
  <c r="J96" i="1"/>
  <c r="J181" i="1" s="1"/>
  <c r="G181" i="1"/>
  <c r="H172" i="1"/>
  <c r="J172" i="1"/>
  <c r="J185" i="1"/>
  <c r="J182" i="1"/>
  <c r="G195" i="1"/>
  <c r="G184" i="1"/>
  <c r="G199" i="1"/>
  <c r="G214" i="1" s="1"/>
  <c r="E214" i="1" s="1"/>
  <c r="J197" i="1"/>
  <c r="H200" i="1"/>
  <c r="J200" i="1"/>
  <c r="J195" i="1"/>
  <c r="G183" i="1"/>
  <c r="G198" i="1"/>
  <c r="J184" i="1"/>
  <c r="J199" i="1"/>
  <c r="H183" i="1"/>
  <c r="H198" i="1"/>
  <c r="J183" i="1"/>
  <c r="J198" i="1"/>
  <c r="H195" i="1"/>
  <c r="H210" i="1" s="1"/>
  <c r="H184" i="1"/>
  <c r="H199" i="1"/>
  <c r="J180" i="1"/>
  <c r="H180" i="1"/>
  <c r="H10" i="1"/>
  <c r="H224" i="1"/>
  <c r="H31" i="1"/>
  <c r="J10" i="1"/>
  <c r="I194" i="1"/>
  <c r="I179" i="1"/>
  <c r="G10" i="1"/>
  <c r="J217" i="1"/>
  <c r="J224" i="1"/>
  <c r="J31" i="1"/>
  <c r="G185" i="1" l="1"/>
  <c r="J196" i="1"/>
  <c r="J194" i="1" s="1"/>
  <c r="G200" i="1"/>
  <c r="E200" i="1" s="1"/>
  <c r="E31" i="1"/>
  <c r="E185" i="1"/>
  <c r="E199" i="1"/>
  <c r="E184" i="1"/>
  <c r="E198" i="1"/>
  <c r="E224" i="1"/>
  <c r="E180" i="1"/>
  <c r="E183" i="1"/>
  <c r="E195" i="1"/>
  <c r="E181" i="1"/>
  <c r="H196" i="1"/>
  <c r="H211" i="1" s="1"/>
  <c r="H219" i="1" s="1"/>
  <c r="E10" i="1"/>
  <c r="H218" i="1"/>
  <c r="G196" i="1"/>
  <c r="H94" i="1"/>
  <c r="J94" i="1"/>
  <c r="H182" i="1"/>
  <c r="H179" i="1" s="1"/>
  <c r="H197" i="1"/>
  <c r="E196" i="1" l="1"/>
  <c r="E94" i="1"/>
  <c r="E218" i="1"/>
  <c r="E210" i="1"/>
  <c r="G211" i="1"/>
  <c r="E211" i="1" s="1"/>
  <c r="H194" i="1"/>
  <c r="H212" i="1"/>
  <c r="J179" i="1"/>
  <c r="E219" i="1" l="1"/>
  <c r="H220" i="1"/>
  <c r="H209" i="1"/>
  <c r="H217" i="1" l="1"/>
  <c r="E151" i="1" l="1"/>
  <c r="E175" i="1" l="1"/>
  <c r="G172" i="1"/>
  <c r="E172" i="1" s="1"/>
  <c r="G179" i="1"/>
  <c r="E179" i="1" s="1"/>
  <c r="E182" i="1"/>
  <c r="G197" i="1"/>
  <c r="E197" i="1" l="1"/>
  <c r="G194" i="1"/>
  <c r="E194" i="1" s="1"/>
  <c r="G209" i="1" l="1"/>
  <c r="E209" i="1" s="1"/>
  <c r="E212" i="1"/>
  <c r="E217" i="1" l="1"/>
  <c r="E2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Николаева Ольга Владимировна</author>
  </authors>
  <commentList>
    <comment ref="F5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Николаева Ольга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год указать</t>
        </r>
      </text>
    </comment>
  </commentList>
</comments>
</file>

<file path=xl/sharedStrings.xml><?xml version="1.0" encoding="utf-8"?>
<sst xmlns="http://schemas.openxmlformats.org/spreadsheetml/2006/main" count="428" uniqueCount="171">
  <si>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</si>
  <si>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</si>
  <si>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</si>
  <si>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</si>
  <si>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</si>
  <si>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</si>
  <si>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Финансовые затраты на реализацию (тыс.рублей)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</si>
  <si>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</si>
  <si>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</si>
  <si>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</si>
  <si>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</si>
  <si>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</si>
  <si>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</si>
  <si>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Итого по подпрограмме I</t>
  </si>
  <si>
    <t>Итого по подпрограмме II</t>
  </si>
  <si>
    <t>в том числе:</t>
  </si>
  <si>
    <t>Процессная часть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</si>
  <si>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</si>
  <si>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</si>
  <si>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</si>
  <si>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</si>
  <si>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 xml:space="preserve"> № </t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</si>
  <si>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&lt;*&gt;</t>
    </r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</si>
  <si>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</si>
  <si>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</si>
  <si>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</si>
  <si>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</si>
  <si>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</si>
  <si>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</si>
  <si>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Департамент имущественных отношений Нефтеюганского района</t>
  </si>
  <si>
    <t>Всего по муниципальной программе</t>
  </si>
  <si>
    <t>Проектная часть</t>
  </si>
  <si>
    <t>Цель 1: Создание условий способствующих развитию жилищного строительства и улучшению жилищных условий жителей Нефтеюганского района.</t>
  </si>
  <si>
    <t>Приобретение жилых помещений, возмещение собственнику стоимости за изымаемое жилое помещение.</t>
  </si>
  <si>
    <t>Возмещение собственнику стоимости за изымаемое жилое помещение.</t>
  </si>
  <si>
    <t xml:space="preserve">Физический снос аварийных многоквартирных жилых домов </t>
  </si>
  <si>
    <t>возмещение собственнику стоимости за изымаемое жилое помещение.</t>
  </si>
  <si>
    <t>Предоставление субсидий, для улучшения жилищных условий</t>
  </si>
  <si>
    <t>Физический снос балков</t>
  </si>
  <si>
    <t>Приобретение жилых помещений для улучшения жилищных условий граждан проживающих в балках</t>
  </si>
  <si>
    <t>Таблица 2</t>
  </si>
  <si>
    <t>Таблица 8</t>
  </si>
  <si>
    <t>Таблица 3</t>
  </si>
  <si>
    <t>1.1</t>
  </si>
  <si>
    <t>1.2</t>
  </si>
  <si>
    <t>2.1</t>
  </si>
  <si>
    <t>2.2</t>
  </si>
  <si>
    <t>2.3</t>
  </si>
  <si>
    <t>2.4</t>
  </si>
  <si>
    <t>2.5</t>
  </si>
  <si>
    <t xml:space="preserve">Ответственный исполнитель Департамент имущественных отношений      </t>
  </si>
  <si>
    <t>№ п/п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</si>
  <si>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</si>
  <si>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</si>
  <si>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Перечень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</si>
  <si>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</si>
  <si>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</si>
  <si>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
(тыс. рублей)</t>
  </si>
  <si>
    <t>Таблица 6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</si>
  <si>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</si>
  <si>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</si>
  <si>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</si>
  <si>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</si>
  <si>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</si>
  <si>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 xml:space="preserve"> </t>
  </si>
  <si>
    <t>Объем безусловных обязательств</t>
  </si>
  <si>
    <t xml:space="preserve">Объем условных обязательств </t>
  </si>
  <si>
    <t xml:space="preserve">     </t>
  </si>
  <si>
    <t>Сведения</t>
  </si>
  <si>
    <t>Таблица 7</t>
  </si>
  <si>
    <t>2027-2030</t>
  </si>
  <si>
    <t>2025 г.</t>
  </si>
  <si>
    <t>Общая площадь жилых помещений, приходящаяся в среднем на 1 жителя, кв.м.</t>
  </si>
  <si>
    <t>Количество квадратных метров расселенного аварийного жилищного фонда, тыс.кв.м., нарастающим итогом</t>
  </si>
  <si>
    <t>Количество граждан, расселенных из аварийного жилищного фонда, тыс.чел., нарастающим итогом</t>
  </si>
  <si>
    <t>Задача 1 Создание условий и механизмов, способствующих развитию жилищного строительства на территории Нефтеюганского района»</t>
  </si>
  <si>
    <t>Задача 2 «Повышение уровня доступности жилья для отдельных категорий граждан»</t>
  </si>
  <si>
    <t>Подпрограмма 1: «Содействие развитию жилищного строительства»</t>
  </si>
  <si>
    <t>Подпрограмма 2: Обеспечение граждан мерами  государственной поддержки по улучшению жилищных  условий</t>
  </si>
  <si>
    <t>Задача 3 «Переселение граждан в благоустроенные жилые помещения из аварийного жилищного фонда»</t>
  </si>
  <si>
    <t>1.3</t>
  </si>
  <si>
    <t>1.4</t>
  </si>
  <si>
    <t>2.1.</t>
  </si>
  <si>
    <t>2.2.</t>
  </si>
  <si>
    <t>2.3.</t>
  </si>
  <si>
    <t>2.4.</t>
  </si>
  <si>
    <t>2.5.</t>
  </si>
  <si>
    <t>2.6.</t>
  </si>
  <si>
    <t>2.7.</t>
  </si>
  <si>
    <t>2.8.</t>
  </si>
  <si>
    <t>Таблица 4</t>
  </si>
  <si>
    <t>№</t>
  </si>
  <si>
    <t xml:space="preserve">Наименование объекта </t>
  </si>
  <si>
    <t>Мощность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</si>
  <si>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</si>
  <si>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</si>
  <si>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</si>
  <si>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</si>
  <si>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>Таблица 5</t>
  </si>
  <si>
    <t xml:space="preserve">Перечень объектов капитального строительства 
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</si>
  <si>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</si>
  <si>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</si>
  <si>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</si>
  <si>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</si>
  <si>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</si>
  <si>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Основное мероприятие "Проектирование и строительство систем инженерной инфраструктуры для жилищного строительства", (Показатель №2)</t>
  </si>
  <si>
    <t>2.6</t>
  </si>
  <si>
    <t>2.7</t>
  </si>
  <si>
    <t>2.8</t>
  </si>
  <si>
    <t>Департамент имущественных отношений Нефтеюганского района/Администрации городского и сельских поселений Нефтеюганского района</t>
  </si>
  <si>
    <t xml:space="preserve">Основное мероприятие «Приобретение жилых помещений путем заключения муниципальных контрактов в строящихся многоквартирных домах или в многоквартирных домах, в которых жилые помещения будут созданы в будущем, купли-продажи на территории городского и сельских поселений Нефтеюганского района и предоставление возмещения за изымаемое жилое помещение»
</t>
  </si>
  <si>
    <t xml:space="preserve">Основное мероприятие «Уплата администрациями поселений выкупной цены собственникам  помещений в домах, в отношении которых  принято решение о сносе»
</t>
  </si>
  <si>
    <t xml:space="preserve">Основное мероприятие «Ликвидация объектов, утративших технологическую необходимость или пришедших в ветхое состояние, объектов инженерной инфраструктуры, хозяйственных построек, незаконных (самовольных) строений»
</t>
  </si>
  <si>
    <t xml:space="preserve">Основное мероприятие «Предоставление  выплат гражданам по исполнительным документам»
</t>
  </si>
  <si>
    <t xml:space="preserve">Основное мероприятие «Приобретение жилых помещений для расселения  граждан проживающих в приспособленных для  проживания  строениях»
</t>
  </si>
  <si>
    <t xml:space="preserve">Основное мероприятие «Субсидия несовершеннолетним детям, родившимся после 31.12.2011, родители (усыновители) которых признаны участниками основного мероприятия "Расселение приспособленных для проживания строений, включенных в реестры на 01.01.2012»
</t>
  </si>
  <si>
    <t xml:space="preserve">Основное мероприятие «Предоставление социальных выплат отдельным категориям граждан на обеспечение жилыми помещениями в ХМАО-Югре»
</t>
  </si>
  <si>
    <t xml:space="preserve">Основное мероприятие «Предоставление субсидий (уведомлений) отдельным категориям граждан»
</t>
  </si>
  <si>
    <t>Основное мероприятие «Снос строений, приспособленных для проживания (балков)»</t>
  </si>
  <si>
    <t xml:space="preserve">Основное мероприятие «Расселение  приспособленных для  проживания   строений, включенных  в  Реестры строений  на 01.01.2012»
</t>
  </si>
  <si>
    <t>о прогнозных и фактически исполненных условных и безусловных обязательствах, возникающих при исполнении концессионного соглашения</t>
  </si>
  <si>
    <t>Сведения о фактически исполненных обязательствах на 01.01.2023 год</t>
  </si>
  <si>
    <t>2023 год</t>
  </si>
  <si>
    <t>2024 год</t>
  </si>
  <si>
    <t>2025 год</t>
  </si>
  <si>
    <t>2026 год</t>
  </si>
  <si>
    <t>2027- 2030 годы</t>
  </si>
  <si>
    <t>2026 г.</t>
  </si>
  <si>
    <t>Департамент имущественных отношений Нефтеюганского района, Администрации  городского и сельских поселений Нефтеюганского района</t>
  </si>
  <si>
    <t>Департамент имущественных отношений Нефтеюганского района/Администрации  городского и сельских поселений Нефтеюганского района</t>
  </si>
  <si>
    <t>Департамент имущественных отношений Нефтеюганского района, Администрации городского и сельских поселений Нефтеюганского района</t>
  </si>
  <si>
    <t>Соисполнитель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(Администрации городского и сельских поселений Нефтеюганского района)</t>
  </si>
  <si>
    <t xml:space="preserve">Департамент имущественных отношений Нефтеюганского района/Администрации городского и сельских поселений Нефтеюганского района </t>
  </si>
  <si>
    <t>1.5</t>
  </si>
  <si>
    <t xml:space="preserve">Региональный проект «Обеспечение устойчивого сокращения непригодного для проживания жилищного фонда»
</t>
  </si>
  <si>
    <t>инвестиции в объекты муниципальной собственности</t>
  </si>
  <si>
    <t>Предоставление социальных выплат  для улучшения жилищных условий, приобретение жилых помещений для обеспечения жильем граждан , переселяемых из жилых помещений, не отвечающих требованиям в связи с   превышением предельно допустимой концентрации фенола и(или) формальдегида.</t>
  </si>
  <si>
    <t xml:space="preserve">                                          ».</t>
  </si>
  <si>
    <t>В том числе:</t>
  </si>
  <si>
    <t>1.6</t>
  </si>
  <si>
    <t xml:space="preserve">Основное мероприятие «Переселение граждан из жилых домов, не отвечающим требованиям в связи превышением предельно допустимой концентрации фенола и формальдегида»
</t>
  </si>
  <si>
    <t>Наименование порядка, номер приложения (при наличии) либо реквизиты нормативного правового акта утвержденного Порядка</t>
  </si>
  <si>
    <t xml:space="preserve">Основное мероприятие «Переселение граждан из непредназначенных для проживания строений, созданных в период промышленного освоения Сибири и Дальнего Востока,  и помещений, не отвечающих требованиям в связи с превышением предельно допустимой концентрации фенола и(или) формальдегида»
</t>
  </si>
  <si>
    <t>Подпрограмма I «Содействие развитию жилищного строительства«</t>
  </si>
  <si>
    <t>Подпрограмма II «Обеспечение граждан мерами  государственной поддержки по улучшению жилищных условий«</t>
  </si>
  <si>
    <t>Региональный проект «Обеспечение устойчивого сокращения непригодного для проживания жилищного фонда»
(Показатель 1 Таблицы 1, показатели 2, 3 Таблицы 8)</t>
  </si>
  <si>
    <t>Основное мероприятие 
«Приобретение жилых помещений путем заключения муниципальных контрактов в строящихся многоквартирных домах или в многоквартирных домах, в которых жилые помещения будут созданы в будущем, купли-продажи на территории городского и сельских поселений Нефтеюганского района и предоставление возмещения за изымаемое жилое помещение»
(Показатель 1 Таблицы 8)</t>
  </si>
  <si>
    <t>Основное мероприятие 
«Уплата администрациями поселений выкупной цены собственникам  помещений в домах, в отношении которых  принято решение о сносе»
(Показатель 1 Таблицы 8)</t>
  </si>
  <si>
    <t>Основное мероприятие 
«Ликвидация объектов, утративших технологическую необходимость или пришедших в ветхое состояние, объектов инженерной инфраструктуры, хозяйственных построек, незаконных (самовольных) строений»
(Показатель 1 Таблицы 8)</t>
  </si>
  <si>
    <t>Основное мероприятие 
«Предоставление  выплат гражданам по исполнительным документам»
(Показатель 1 Таблицы 8)</t>
  </si>
  <si>
    <t xml:space="preserve">Основное мероприятие 
«Переселение граждан из жилых домов, не отвечающим требованиям в связи превышением предельно допустимой концентрации фенола и формальдегида»
(Показатель 1 Таблицы 8)       </t>
  </si>
  <si>
    <t xml:space="preserve">Основное мероприятие 
«Расселение  приспособленных для  проживания   строений, включенных  в  Реестры строений  на 01.01.2012»
(Показатель 1 Таблицы 1)                                                                                                                                                                 </t>
  </si>
  <si>
    <t xml:space="preserve">Основное мероприятие 
«Снос строений, приспособленных для проживания (балков)»
(Показатель 1 Таблицы 1)                                                                                                                                                                    </t>
  </si>
  <si>
    <t xml:space="preserve">Основное мероприятие 
«Предоставление субсидий (уведомлений) отдельным категориям граждан»
(Показатель 1 Таблицы 1)                                                                                                                                                                    </t>
  </si>
  <si>
    <t xml:space="preserve">Основное мероприятие 
«Предоставление социальных выплат отдельным категориям граждан на обеспечение жилыми помещениями в ХМАО-Югре»
(Показатель 1 Таблицы 1)                                                                                                                                                                 </t>
  </si>
  <si>
    <t xml:space="preserve">Основное мероприятие 
«Приобретение жилых помещений для расселения  граждан проживающих в приспособленных для  проживания  строениях»
(Показатель 1 Таблицы 1)                                                                                                                                                                 </t>
  </si>
  <si>
    <t xml:space="preserve">Основное мероприятие 
«Субсидия несовершеннолетним детям, родившимся после 31.12.2011, родители (усыновители) которых признаны участниками основного мероприятия «Расселение приспособленных для проживания строений, включенных в реестры на 01.01.2012»
(Показатель 1 Таблицы 1)                                                                                                                                                                    </t>
  </si>
  <si>
    <t>Порядок реализации основного мероприятия муниципальной программы Нефтеюганского района «Обеспечение доступным и комфортным жильем» «Приобретение жилых помещений для расселения граждан, проживающих в строениях, приспособленных для проживания»</t>
  </si>
  <si>
    <t>Порядок реализации основного мероприятия муниципальной программы Нефтеюганского района «Обеспечение доступным и комфортным жильем» "Переселение граждан из жилых домов, не отвечающим требованиям в связи превышением предельно допустимой концентрации фенола и формальдегида»</t>
  </si>
  <si>
    <t>Порядок реализации Регионального проекта муниципальной программы Нефтеюганского района «Обеспечение доступным и комфортным жильем» "Обеспечение устойчивого сокращения непригодного для проживания жилищного фонда»</t>
  </si>
  <si>
    <t xml:space="preserve">Основное мероприятие 
«Переселение граждан из непредназначенных для проживания строений, созданных в период промышленного освоения Сибири и Дальнего Востока, и помещений, не отвечающих требованиям в связи с превышением предельно допустимой концентрации фенола и(или) формальдегида
(Показатель 1 Таблицы 1; Показатель 1 Таблицы 8)                                                                                                                                                                     </t>
  </si>
  <si>
    <t xml:space="preserve">Основное мероприятие 
«Переселение граждан из жилых домов, находящихся в зонах затопления, подтопления, а также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найма»
(Показатель 1 Таблицы 1)                                                                                                                                                             </t>
  </si>
  <si>
    <t xml:space="preserve">Основное мероприятие«Переселение граждан из жилых домов, находящихся в зонах затопления, подтопления, а также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найма»
</t>
  </si>
  <si>
    <t>Порядок реализации основного мероприятия муниципальной программы Нефтеюганского района «Обеспечение доступным и комфортным жильем» «Переселение граждан из жилых домов, находящихся в зонах затопления, подтопления,  а также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найма»»</t>
  </si>
  <si>
    <t>Порядок реализации основного мероприятия муниципальной программы Нефтеюганского района «Обеспечение доступным и комфортным жильем»«Переселение граждан из непредназначенных для проживания строений, созданных в период промышленного освоения Сибири и Дальнего Востока,  и помещений, не отвечающих требованиям в связи с превышением предельно допустимой концентрации фенола и(или) формальдегида»</t>
  </si>
  <si>
    <r>
      <t xml:space="preserve">Перечень
 </t>
    </r>
    <r>
      <rPr>
        <sz val="12"/>
        <rFont val="Times New Roman"/>
        <family val="1"/>
        <charset val="204"/>
      </rPr>
      <t xml:space="preserve">реализуемых объектов на очередной финансовый год 20___ год и на плановый период 20____ и 20____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 </t>
    </r>
    <r>
      <rPr>
        <b/>
        <sz val="12"/>
        <rFont val="Times New Roman"/>
        <family val="1"/>
        <charset val="204"/>
      </rPr>
      <t xml:space="preserve">
</t>
    </r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</si>
  <si>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</si>
  <si>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01.01.20____</t>
  </si>
  <si>
    <t>Инвестиции</t>
  </si>
  <si>
    <t>20___г.</t>
  </si>
  <si>
    <t xml:space="preserve">Департамент имущественных отношений Нефтеюганского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</si>
</sst>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-* #,##0.00000_-;\-* #,##0.00000_-;_-* &quot;-&quot;??_-;_-@_-"/>
    <numFmt numFmtId="165" formatCode="_-* #,##0.0_р_._-;\-* #,##0.0_р_._-;_-* &quot;-&quot;?_р_._-;_-@_-"/>
    <numFmt numFmtId="166" formatCode="#,##0.0"/>
    <numFmt numFmtId="167" formatCode="#,##0.00000"/>
    <numFmt numFmtId="168" formatCode="_-* #,##0.0\ _р_._-;\-* #,##0.0\ _р_._-;_-* &quot;-&quot;??\ _р_._-;_-@_-"/>
    <numFmt numFmtId="169" formatCode="_-* #,##0.00000\ _₽_-;\-* #,##0.00000\ _₽_-;_-* &quot;-&quot;?????\ _₽_-;_-@_-"/>
    <numFmt numFmtId="170" formatCode="#,##0.00000_ ;\-#,##0.00000\ "/>
    <numFmt numFmtId="171" formatCode="#,##0.000"/>
    <numFmt numFmtId="172" formatCode="_-* #,##0.0_р_._-;\-* #,##0.0_р_._-;_-* &quot;-&quot;??_р_._-;_-@_-"/>
    <numFmt numFmtId="173" formatCode="_-* #,##0.00000_р_._-;\-* #,##0.00000_р_._-;_-* &quot;-&quot;?????_р_._-;_-@_-"/>
    <numFmt numFmtId="174" formatCode="_-* #,##0.00\ _₽_-;\-* #,##0.00\ _₽_-;_-* &quot;-&quot;??\ _₽_-;_-@_-"/>
    <numFmt numFmtId="175" formatCode="#,##0.00\ _₽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10">
    <xf numFmtId="0" fontId="0" fillId="0" borderId="0" xfId="0"/>
    <xf numFmtId="0" fontId="8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justify" vertical="center" wrapText="1"/>
    </xf>
    <xf numFmtId="0" fontId="8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0" xfId="0" applyFont="1" applyFill="1" applyAlignment="1">
      <alignment horizontal="left" vertical="top"/>
    </xf>
    <xf numFmtId="0" fontId="8" fillId="2" borderId="1" xfId="0" applyFont="1" applyFill="1" applyBorder="1" applyAlignment="1">
      <alignment horizontal="left" vertical="center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/>
    </xf>
    <xf numFmtId="0" fontId="8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left" vertical="center" wrapText="1"/>
    </xf>
    <xf numFmtId="167" fontId="5" fillId="2" borderId="0" xfId="0" applyNumberFormat="1" applyFont="1" applyFill="1"/>
    <xf numFmtId="0" fontId="5" fillId="2" borderId="0" xfId="0" applyFont="1" applyFill="1"/>
    <xf numFmtId="167" fontId="13" fillId="2" borderId="0" xfId="0" applyNumberFormat="1" applyFont="1" applyFill="1"/>
    <xf numFmtId="49" fontId="8" fillId="2" borderId="1" xfId="0" applyNumberFormat="1" applyFont="1" applyFill="1" applyBorder="1" applyAlignment="1">
      <alignment horizontal="center" vertical="center"/>
    </xf>
    <xf numFmtId="169" fontId="5" fillId="2" borderId="4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0" xfId="0" applyFont="1"/>
    <xf numFmtId="0" fontId="11" fillId="0" borderId="0" xfId="0" applyFont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166" fontId="9" fillId="2" borderId="1" xfId="0" applyNumberFormat="1" applyFont="1" applyFill="1" applyBorder="1" applyAlignment="1">
      <alignment horizontal="center" vertical="center" wrapText="1"/>
    </xf>
    <xf numFmtId="166" fontId="9" fillId="2" borderId="7" xfId="0" applyNumberFormat="1" applyFont="1" applyFill="1" applyBorder="1" applyAlignment="1">
      <alignment horizontal="center" vertical="center" wrapText="1"/>
    </xf>
    <xf numFmtId="171" fontId="8" fillId="2" borderId="1" xfId="0" applyNumberFormat="1" applyFont="1" applyFill="1" applyBorder="1" applyAlignment="1">
      <alignment horizontal="center" vertical="center" wrapText="1"/>
    </xf>
    <xf numFmtId="171" fontId="8" fillId="2" borderId="7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8" fillId="2" borderId="7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169" fontId="15" fillId="0" borderId="0" xfId="0" applyNumberFormat="1" applyFont="1" applyFill="1" applyAlignment="1">
      <alignment horizontal="right" wrapText="1"/>
    </xf>
    <xf numFmtId="2" fontId="15" fillId="0" borderId="0" xfId="0" applyNumberFormat="1" applyFont="1" applyFill="1" applyAlignment="1">
      <alignment horizontal="right" wrapText="1"/>
    </xf>
    <xf numFmtId="0" fontId="15" fillId="0" borderId="0" xfId="0" applyFont="1" applyFill="1" applyAlignment="1">
      <alignment horizontal="right" vertical="center"/>
    </xf>
    <xf numFmtId="0" fontId="18" fillId="0" borderId="0" xfId="0" applyFont="1" applyFill="1"/>
    <xf numFmtId="0" fontId="7" fillId="0" borderId="0" xfId="0" applyFont="1" applyFill="1" applyBorder="1" applyAlignment="1">
      <alignment horizontal="center" wrapText="1"/>
    </xf>
    <xf numFmtId="169" fontId="15" fillId="0" borderId="2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7" fontId="19" fillId="0" borderId="1" xfId="0" applyNumberFormat="1" applyFont="1" applyFill="1" applyBorder="1" applyAlignment="1">
      <alignment horizontal="left" vertical="center" wrapText="1"/>
    </xf>
    <xf numFmtId="167" fontId="19" fillId="0" borderId="1" xfId="0" applyNumberFormat="1" applyFont="1" applyFill="1" applyBorder="1" applyAlignment="1">
      <alignment horizontal="center" vertical="center" wrapText="1"/>
    </xf>
    <xf numFmtId="167" fontId="20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4" fontId="16" fillId="0" borderId="0" xfId="0" applyNumberFormat="1" applyFont="1" applyFill="1"/>
    <xf numFmtId="169" fontId="16" fillId="0" borderId="0" xfId="0" applyNumberFormat="1" applyFont="1" applyFill="1" applyAlignment="1">
      <alignment horizontal="right" wrapText="1"/>
    </xf>
    <xf numFmtId="2" fontId="16" fillId="0" borderId="0" xfId="0" applyNumberFormat="1" applyFont="1" applyFill="1" applyAlignment="1">
      <alignment horizontal="right" wrapText="1"/>
    </xf>
    <xf numFmtId="0" fontId="18" fillId="0" borderId="0" xfId="0" applyFont="1" applyFill="1" applyBorder="1"/>
    <xf numFmtId="0" fontId="19" fillId="0" borderId="0" xfId="0" applyFont="1" applyFill="1" applyBorder="1" applyAlignment="1">
      <alignment horizontal="left" vertical="center" wrapText="1"/>
    </xf>
    <xf numFmtId="174" fontId="19" fillId="0" borderId="0" xfId="0" applyNumberFormat="1" applyFont="1" applyFill="1" applyBorder="1" applyAlignment="1">
      <alignment horizontal="right" vertical="center" wrapText="1"/>
    </xf>
    <xf numFmtId="174" fontId="15" fillId="0" borderId="0" xfId="0" applyNumberFormat="1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2" borderId="0" xfId="0" applyFont="1" applyFill="1"/>
    <xf numFmtId="0" fontId="5" fillId="2" borderId="1" xfId="0" applyFont="1" applyFill="1" applyBorder="1"/>
    <xf numFmtId="164" fontId="5" fillId="2" borderId="1" xfId="1" applyNumberFormat="1" applyFont="1" applyFill="1" applyBorder="1" applyAlignment="1">
      <alignment horizontal="center" vertical="center" wrapText="1"/>
    </xf>
    <xf numFmtId="167" fontId="2" fillId="2" borderId="0" xfId="0" applyNumberFormat="1" applyFont="1" applyFill="1"/>
    <xf numFmtId="0" fontId="2" fillId="2" borderId="1" xfId="0" applyFont="1" applyFill="1" applyBorder="1"/>
    <xf numFmtId="164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170" fontId="2" fillId="2" borderId="1" xfId="1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wrapText="1"/>
    </xf>
    <xf numFmtId="164" fontId="5" fillId="2" borderId="1" xfId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175" fontId="5" fillId="2" borderId="4" xfId="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right" vertical="center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167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7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5" fillId="2" borderId="4" xfId="0" applyFont="1" applyFill="1" applyBorder="1"/>
    <xf numFmtId="164" fontId="5" fillId="2" borderId="4" xfId="1" applyNumberFormat="1" applyFont="1" applyFill="1" applyBorder="1" applyAlignment="1">
      <alignment horizontal="center" vertical="center"/>
    </xf>
    <xf numFmtId="164" fontId="2" fillId="2" borderId="4" xfId="1" applyNumberFormat="1" applyFont="1" applyFill="1" applyBorder="1" applyAlignment="1">
      <alignment horizontal="center" vertical="center"/>
    </xf>
    <xf numFmtId="167" fontId="14" fillId="2" borderId="1" xfId="0" applyNumberFormat="1" applyFont="1" applyFill="1" applyBorder="1"/>
    <xf numFmtId="167" fontId="14" fillId="2" borderId="0" xfId="0" applyNumberFormat="1" applyFont="1" applyFill="1"/>
    <xf numFmtId="167" fontId="2" fillId="2" borderId="1" xfId="1" applyNumberFormat="1" applyFont="1" applyFill="1" applyBorder="1" applyAlignment="1">
      <alignment horizontal="right" vertical="center"/>
    </xf>
    <xf numFmtId="164" fontId="6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/>
    <xf numFmtId="164" fontId="4" fillId="2" borderId="1" xfId="1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/>
    <xf numFmtId="0" fontId="0" fillId="2" borderId="5" xfId="0" applyFont="1" applyFill="1" applyBorder="1" applyAlignment="1">
      <alignment horizontal="center" vertical="center"/>
    </xf>
    <xf numFmtId="169" fontId="5" fillId="2" borderId="1" xfId="1" applyNumberFormat="1" applyFont="1" applyFill="1" applyBorder="1" applyAlignment="1">
      <alignment horizontal="center" vertical="center" wrapText="1"/>
    </xf>
    <xf numFmtId="170" fontId="5" fillId="2" borderId="1" xfId="1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/>
    </xf>
    <xf numFmtId="169" fontId="2" fillId="2" borderId="0" xfId="0" applyNumberFormat="1" applyFont="1" applyFill="1" applyBorder="1"/>
    <xf numFmtId="169" fontId="2" fillId="2" borderId="0" xfId="0" applyNumberFormat="1" applyFont="1" applyFill="1"/>
    <xf numFmtId="0" fontId="2" fillId="2" borderId="0" xfId="0" applyFont="1" applyFill="1" applyBorder="1"/>
    <xf numFmtId="4" fontId="2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168" fontId="2" fillId="2" borderId="1" xfId="0" applyNumberFormat="1" applyFont="1" applyFill="1" applyBorder="1" applyAlignment="1">
      <alignment horizontal="center" vertical="center" wrapText="1"/>
    </xf>
    <xf numFmtId="49" fontId="4" fillId="2" borderId="2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49" fontId="4" fillId="2" borderId="4" xfId="2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49" fontId="2" fillId="2" borderId="6" xfId="0" applyNumberFormat="1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8" fontId="2" fillId="2" borderId="2" xfId="0" applyNumberFormat="1" applyFont="1" applyFill="1" applyBorder="1" applyAlignment="1">
      <alignment horizontal="center" vertical="center" wrapText="1"/>
    </xf>
    <xf numFmtId="168" fontId="2" fillId="2" borderId="3" xfId="0" applyNumberFormat="1" applyFont="1" applyFill="1" applyBorder="1" applyAlignment="1">
      <alignment horizontal="center" vertical="center" wrapText="1"/>
    </xf>
    <xf numFmtId="168" fontId="2" fillId="2" borderId="4" xfId="0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49" fontId="4" fillId="2" borderId="2" xfId="2" applyNumberFormat="1" applyFont="1" applyFill="1" applyBorder="1" applyAlignment="1">
      <alignment horizontal="left" vertical="center" wrapText="1"/>
    </xf>
    <xf numFmtId="49" fontId="4" fillId="2" borderId="3" xfId="2" applyNumberFormat="1" applyFont="1" applyFill="1" applyBorder="1" applyAlignment="1">
      <alignment horizontal="left" vertical="center" wrapText="1"/>
    </xf>
    <xf numFmtId="49" fontId="4" fillId="2" borderId="4" xfId="2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49" fontId="4" fillId="2" borderId="1" xfId="2" applyNumberFormat="1" applyFont="1" applyFill="1" applyBorder="1" applyAlignment="1">
      <alignment horizontal="center" vertical="center" wrapText="1"/>
    </xf>
    <xf numFmtId="165" fontId="4" fillId="2" borderId="2" xfId="2" applyNumberFormat="1" applyFont="1" applyFill="1" applyBorder="1" applyAlignment="1">
      <alignment horizontal="left" vertical="center" wrapText="1"/>
    </xf>
    <xf numFmtId="165" fontId="4" fillId="2" borderId="3" xfId="2" applyNumberFormat="1" applyFont="1" applyFill="1" applyBorder="1" applyAlignment="1">
      <alignment horizontal="left" vertical="center" wrapText="1"/>
    </xf>
    <xf numFmtId="165" fontId="4" fillId="2" borderId="4" xfId="2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2" borderId="7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67" fontId="19" fillId="0" borderId="2" xfId="0" applyNumberFormat="1" applyFont="1" applyFill="1" applyBorder="1" applyAlignment="1">
      <alignment horizontal="center" vertical="center" wrapText="1"/>
    </xf>
    <xf numFmtId="167" fontId="19" fillId="0" borderId="3" xfId="0" applyNumberFormat="1" applyFont="1" applyFill="1" applyBorder="1" applyAlignment="1">
      <alignment horizontal="center" vertical="center" wrapText="1"/>
    </xf>
    <xf numFmtId="167" fontId="19" fillId="0" borderId="4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172" fontId="19" fillId="0" borderId="2" xfId="0" applyNumberFormat="1" applyFont="1" applyFill="1" applyBorder="1" applyAlignment="1">
      <alignment horizontal="center" vertical="center" wrapText="1"/>
    </xf>
    <xf numFmtId="172" fontId="19" fillId="0" borderId="3" xfId="0" applyNumberFormat="1" applyFont="1" applyFill="1" applyBorder="1" applyAlignment="1">
      <alignment horizontal="center" vertical="center" wrapText="1"/>
    </xf>
    <xf numFmtId="172" fontId="19" fillId="0" borderId="4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top" wrapText="1"/>
    </xf>
    <xf numFmtId="0" fontId="0" fillId="0" borderId="0" xfId="0" applyFill="1" applyAlignment="1"/>
    <xf numFmtId="0" fontId="7" fillId="0" borderId="10" xfId="0" applyFont="1" applyFill="1" applyBorder="1" applyAlignment="1">
      <alignment horizont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7" fillId="0" borderId="1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5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173" fontId="8" fillId="0" borderId="13" xfId="0" applyNumberFormat="1" applyFont="1" applyFill="1" applyBorder="1" applyAlignment="1">
      <alignment horizontal="center" vertical="center" wrapText="1"/>
    </xf>
    <xf numFmtId="173" fontId="8" fillId="0" borderId="14" xfId="0" applyNumberFormat="1" applyFont="1" applyFill="1" applyBorder="1" applyAlignment="1">
      <alignment horizontal="center" vertical="center" wrapText="1"/>
    </xf>
    <xf numFmtId="173" fontId="8" fillId="0" borderId="11" xfId="0" applyNumberFormat="1" applyFont="1" applyFill="1" applyBorder="1" applyAlignment="1">
      <alignment horizontal="center" vertical="center" wrapText="1"/>
    </xf>
    <xf numFmtId="173" fontId="8" fillId="0" borderId="0" xfId="0" applyNumberFormat="1" applyFont="1" applyFill="1" applyBorder="1" applyAlignment="1">
      <alignment horizontal="center" vertical="center" wrapText="1"/>
    </xf>
    <xf numFmtId="173" fontId="8" fillId="0" borderId="12" xfId="0" applyNumberFormat="1" applyFont="1" applyFill="1" applyBorder="1" applyAlignment="1">
      <alignment horizontal="center" vertical="center" wrapText="1"/>
    </xf>
    <xf numFmtId="173" fontId="8" fillId="0" borderId="1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justify" vertical="center"/>
    </xf>
    <xf numFmtId="0" fontId="12" fillId="0" borderId="0" xfId="0" applyFont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6"/>
  <sheetViews>
    <sheetView zoomScale="80" zoomScaleNormal="80" zoomScaleSheetLayoutView="80" workbookViewId="0">
      <pane ySplit="7" topLeftCell="A209" activePane="bottomLeft" state="frozen"/>
      <selection pane="bottomLeft" activeCell="K218" sqref="K218"/>
    </sheetView>
  </sheetViews>
  <sheetFormatPr defaultColWidth="9.140625" defaultRowHeight="12" x14ac:dyDescent="0.2"/>
  <cols>
    <col min="1" max="1" width="8.5703125" style="68" customWidth="1"/>
    <col min="2" max="2" width="46.85546875" style="68" customWidth="1"/>
    <col min="3" max="3" width="36.140625" style="68" customWidth="1"/>
    <col min="4" max="4" width="31.7109375" style="68" customWidth="1"/>
    <col min="5" max="10" width="15.7109375" style="68" customWidth="1"/>
    <col min="11" max="11" width="29.42578125" style="71" customWidth="1"/>
    <col min="12" max="12" width="13.140625" style="71" customWidth="1"/>
    <col min="13" max="13" width="13.28515625" style="71" customWidth="1"/>
    <col min="14" max="14" width="9.140625" style="71"/>
    <col min="15" max="15" width="10.5703125" style="71" bestFit="1" customWidth="1"/>
    <col min="16" max="16384" width="9.140625" style="68"/>
  </cols>
  <sheetData>
    <row r="1" spans="1:15" ht="12.75" x14ac:dyDescent="0.2">
      <c r="J1" s="81" t="s">
        <v>40</v>
      </c>
    </row>
    <row r="3" spans="1:15" x14ac:dyDescent="0.2">
      <c r="A3" s="154" t="s">
        <v>0</v>
      </c>
      <c r="B3" s="154"/>
      <c r="C3" s="154"/>
      <c r="D3" s="154"/>
      <c r="E3" s="154"/>
      <c r="F3" s="154"/>
      <c r="G3" s="154"/>
      <c r="H3" s="154"/>
      <c r="I3" s="154"/>
      <c r="J3" s="154"/>
    </row>
    <row r="5" spans="1:15" x14ac:dyDescent="0.2">
      <c r="A5" s="158" t="s">
        <v>1</v>
      </c>
      <c r="B5" s="158" t="s">
        <v>2</v>
      </c>
      <c r="C5" s="158" t="s">
        <v>3</v>
      </c>
      <c r="D5" s="158" t="s">
        <v>4</v>
      </c>
      <c r="E5" s="155" t="s">
        <v>6</v>
      </c>
      <c r="F5" s="155"/>
      <c r="G5" s="155"/>
      <c r="H5" s="155"/>
      <c r="I5" s="155"/>
      <c r="J5" s="155"/>
    </row>
    <row r="6" spans="1:15" x14ac:dyDescent="0.2">
      <c r="A6" s="158"/>
      <c r="B6" s="158"/>
      <c r="C6" s="158"/>
      <c r="D6" s="158"/>
      <c r="E6" s="156" t="s">
        <v>5</v>
      </c>
      <c r="F6" s="82"/>
      <c r="G6" s="155"/>
      <c r="H6" s="155"/>
      <c r="I6" s="155"/>
      <c r="J6" s="155"/>
    </row>
    <row r="7" spans="1:15" s="85" customFormat="1" ht="78.75" customHeight="1" x14ac:dyDescent="0.25">
      <c r="A7" s="158"/>
      <c r="B7" s="158"/>
      <c r="C7" s="158"/>
      <c r="D7" s="158"/>
      <c r="E7" s="157"/>
      <c r="F7" s="83">
        <v>2023</v>
      </c>
      <c r="G7" s="83">
        <v>2024</v>
      </c>
      <c r="H7" s="83">
        <v>2025</v>
      </c>
      <c r="I7" s="83">
        <v>2026</v>
      </c>
      <c r="J7" s="83" t="s">
        <v>70</v>
      </c>
      <c r="K7" s="84"/>
      <c r="L7" s="84"/>
      <c r="M7" s="84"/>
      <c r="N7" s="84"/>
      <c r="O7" s="84"/>
    </row>
    <row r="8" spans="1:15" s="87" customFormat="1" x14ac:dyDescent="0.2">
      <c r="A8" s="79">
        <v>1</v>
      </c>
      <c r="B8" s="79">
        <v>2</v>
      </c>
      <c r="C8" s="79">
        <v>3</v>
      </c>
      <c r="D8" s="79">
        <v>4</v>
      </c>
      <c r="E8" s="79">
        <v>5</v>
      </c>
      <c r="F8" s="79">
        <v>6</v>
      </c>
      <c r="G8" s="79">
        <v>7</v>
      </c>
      <c r="H8" s="79">
        <v>8</v>
      </c>
      <c r="I8" s="79">
        <v>9</v>
      </c>
      <c r="J8" s="79">
        <v>10</v>
      </c>
      <c r="K8" s="86"/>
      <c r="L8" s="86"/>
      <c r="M8" s="86"/>
      <c r="N8" s="86"/>
      <c r="O8" s="86"/>
    </row>
    <row r="9" spans="1:15" s="20" customFormat="1" x14ac:dyDescent="0.2">
      <c r="A9" s="155" t="s">
        <v>143</v>
      </c>
      <c r="B9" s="155"/>
      <c r="C9" s="155"/>
      <c r="D9" s="155"/>
      <c r="E9" s="155"/>
      <c r="F9" s="155"/>
      <c r="G9" s="155"/>
      <c r="H9" s="155"/>
      <c r="I9" s="155"/>
      <c r="J9" s="155"/>
      <c r="K9" s="19"/>
      <c r="L9" s="19"/>
      <c r="M9" s="19"/>
      <c r="N9" s="19"/>
      <c r="O9" s="19"/>
    </row>
    <row r="10" spans="1:15" s="20" customFormat="1" ht="15" customHeight="1" x14ac:dyDescent="0.2">
      <c r="A10" s="124" t="s">
        <v>43</v>
      </c>
      <c r="B10" s="159" t="s">
        <v>145</v>
      </c>
      <c r="C10" s="120" t="s">
        <v>128</v>
      </c>
      <c r="D10" s="77" t="s">
        <v>5</v>
      </c>
      <c r="E10" s="23">
        <f>E11+E12+E13+E14+E16</f>
        <v>17462.2</v>
      </c>
      <c r="F10" s="23">
        <f t="shared" ref="F10" si="0">F17+F24</f>
        <v>17462.2</v>
      </c>
      <c r="G10" s="23">
        <f t="shared" ref="G10:J10" si="1">G17+G24</f>
        <v>0</v>
      </c>
      <c r="H10" s="23">
        <f t="shared" ref="H10:I10" si="2">H17+H24</f>
        <v>0</v>
      </c>
      <c r="I10" s="23">
        <f t="shared" si="2"/>
        <v>0</v>
      </c>
      <c r="J10" s="23">
        <f t="shared" si="1"/>
        <v>0</v>
      </c>
      <c r="K10" s="19"/>
      <c r="L10" s="19"/>
      <c r="M10" s="19"/>
      <c r="N10" s="19"/>
      <c r="O10" s="19"/>
    </row>
    <row r="11" spans="1:15" s="20" customFormat="1" x14ac:dyDescent="0.2">
      <c r="A11" s="125"/>
      <c r="B11" s="160"/>
      <c r="C11" s="121"/>
      <c r="D11" s="77" t="s">
        <v>7</v>
      </c>
      <c r="E11" s="23">
        <f t="shared" ref="E11:E16" si="3">SUM(G11:J11)</f>
        <v>0</v>
      </c>
      <c r="F11" s="35"/>
      <c r="G11" s="35"/>
      <c r="H11" s="35"/>
      <c r="I11" s="35"/>
      <c r="J11" s="35"/>
      <c r="K11" s="19"/>
      <c r="L11" s="19"/>
      <c r="M11" s="19"/>
      <c r="N11" s="19"/>
      <c r="O11" s="19"/>
    </row>
    <row r="12" spans="1:15" s="20" customFormat="1" x14ac:dyDescent="0.2">
      <c r="A12" s="125"/>
      <c r="B12" s="160"/>
      <c r="C12" s="121"/>
      <c r="D12" s="77" t="s">
        <v>8</v>
      </c>
      <c r="E12" s="23">
        <f>F12+G12+H12+I12+J12</f>
        <v>17462.2</v>
      </c>
      <c r="F12" s="23">
        <f>F19+F26</f>
        <v>17462.2</v>
      </c>
      <c r="G12" s="23">
        <f t="shared" ref="G12:J13" si="4">G19+G26</f>
        <v>0</v>
      </c>
      <c r="H12" s="23">
        <f t="shared" ref="H12:I12" si="5">H19+H26</f>
        <v>0</v>
      </c>
      <c r="I12" s="23">
        <f t="shared" si="5"/>
        <v>0</v>
      </c>
      <c r="J12" s="23">
        <f t="shared" si="4"/>
        <v>0</v>
      </c>
      <c r="K12" s="19"/>
      <c r="L12" s="19"/>
      <c r="M12" s="19"/>
      <c r="N12" s="19"/>
      <c r="O12" s="19"/>
    </row>
    <row r="13" spans="1:15" s="20" customFormat="1" x14ac:dyDescent="0.2">
      <c r="A13" s="125"/>
      <c r="B13" s="160"/>
      <c r="C13" s="121"/>
      <c r="D13" s="77" t="s">
        <v>9</v>
      </c>
      <c r="E13" s="23">
        <f t="shared" si="3"/>
        <v>0</v>
      </c>
      <c r="F13" s="23">
        <f t="shared" ref="F13" si="6">F20+F27</f>
        <v>0</v>
      </c>
      <c r="G13" s="23">
        <f t="shared" si="4"/>
        <v>0</v>
      </c>
      <c r="H13" s="23">
        <f t="shared" ref="H13:I13" si="7">H20+H27</f>
        <v>0</v>
      </c>
      <c r="I13" s="23">
        <f t="shared" si="7"/>
        <v>0</v>
      </c>
      <c r="J13" s="23">
        <f t="shared" si="4"/>
        <v>0</v>
      </c>
      <c r="K13" s="19"/>
      <c r="L13" s="19"/>
      <c r="M13" s="19"/>
      <c r="N13" s="19"/>
      <c r="O13" s="19"/>
    </row>
    <row r="14" spans="1:15" s="20" customFormat="1" ht="24" x14ac:dyDescent="0.2">
      <c r="A14" s="125"/>
      <c r="B14" s="160"/>
      <c r="C14" s="121"/>
      <c r="D14" s="77" t="s">
        <v>10</v>
      </c>
      <c r="E14" s="23">
        <f t="shared" si="3"/>
        <v>0</v>
      </c>
      <c r="F14" s="35"/>
      <c r="G14" s="35"/>
      <c r="H14" s="35"/>
      <c r="I14" s="35"/>
      <c r="J14" s="35"/>
      <c r="K14" s="19"/>
      <c r="L14" s="19"/>
      <c r="M14" s="19"/>
      <c r="N14" s="19"/>
      <c r="O14" s="19"/>
    </row>
    <row r="15" spans="1:15" s="20" customFormat="1" x14ac:dyDescent="0.2">
      <c r="A15" s="125"/>
      <c r="B15" s="160"/>
      <c r="C15" s="121"/>
      <c r="D15" s="77" t="s">
        <v>11</v>
      </c>
      <c r="E15" s="23">
        <f>F15+G15+H15+I15+J15</f>
        <v>2158.2494499999998</v>
      </c>
      <c r="F15" s="23">
        <f>F29+F22</f>
        <v>2158.2494499999998</v>
      </c>
      <c r="G15" s="80"/>
      <c r="H15" s="80"/>
      <c r="I15" s="80"/>
      <c r="J15" s="80"/>
      <c r="K15" s="19"/>
      <c r="L15" s="19"/>
      <c r="M15" s="19"/>
      <c r="N15" s="19"/>
      <c r="O15" s="19"/>
    </row>
    <row r="16" spans="1:15" s="20" customFormat="1" x14ac:dyDescent="0.2">
      <c r="A16" s="125"/>
      <c r="B16" s="160"/>
      <c r="C16" s="122"/>
      <c r="D16" s="77" t="s">
        <v>12</v>
      </c>
      <c r="E16" s="23">
        <f t="shared" si="3"/>
        <v>0</v>
      </c>
      <c r="F16" s="35"/>
      <c r="G16" s="35"/>
      <c r="H16" s="35"/>
      <c r="I16" s="35"/>
      <c r="J16" s="35"/>
      <c r="K16" s="19"/>
      <c r="L16" s="19"/>
      <c r="M16" s="19"/>
      <c r="N16" s="19"/>
      <c r="O16" s="19"/>
    </row>
    <row r="17" spans="1:15" s="20" customFormat="1" ht="12" customHeight="1" x14ac:dyDescent="0.2">
      <c r="A17" s="125"/>
      <c r="B17" s="160"/>
      <c r="C17" s="110" t="s">
        <v>29</v>
      </c>
      <c r="D17" s="88" t="s">
        <v>5</v>
      </c>
      <c r="E17" s="89">
        <f>E18+E19+E20+E21+E23</f>
        <v>0.18196000000000001</v>
      </c>
      <c r="F17" s="90">
        <f>F19+F20</f>
        <v>0.18196000000000001</v>
      </c>
      <c r="G17" s="89">
        <f t="shared" ref="G17:J17" si="8">G18+G19+G20+G21+G23</f>
        <v>0</v>
      </c>
      <c r="H17" s="89">
        <f t="shared" ref="H17:I17" si="9">H18+H19+H20+H21+H23</f>
        <v>0</v>
      </c>
      <c r="I17" s="89">
        <f t="shared" si="9"/>
        <v>0</v>
      </c>
      <c r="J17" s="89">
        <f t="shared" si="8"/>
        <v>0</v>
      </c>
      <c r="K17" s="19"/>
      <c r="L17" s="19"/>
      <c r="M17" s="19"/>
      <c r="N17" s="19"/>
      <c r="O17" s="19"/>
    </row>
    <row r="18" spans="1:15" s="20" customFormat="1" ht="12" customHeight="1" x14ac:dyDescent="0.2">
      <c r="A18" s="125"/>
      <c r="B18" s="160"/>
      <c r="C18" s="110"/>
      <c r="D18" s="72" t="s">
        <v>7</v>
      </c>
      <c r="E18" s="73">
        <f>SUM(G18:J18)</f>
        <v>0</v>
      </c>
      <c r="F18" s="73">
        <v>0</v>
      </c>
      <c r="G18" s="73">
        <v>0</v>
      </c>
      <c r="H18" s="73">
        <v>0</v>
      </c>
      <c r="I18" s="73">
        <v>0</v>
      </c>
      <c r="J18" s="73">
        <v>0</v>
      </c>
      <c r="K18" s="19"/>
      <c r="L18" s="19"/>
      <c r="M18" s="19"/>
      <c r="N18" s="19"/>
      <c r="O18" s="19"/>
    </row>
    <row r="19" spans="1:15" s="20" customFormat="1" ht="12" customHeight="1" x14ac:dyDescent="0.2">
      <c r="A19" s="125"/>
      <c r="B19" s="160"/>
      <c r="C19" s="110"/>
      <c r="D19" s="72" t="s">
        <v>8</v>
      </c>
      <c r="E19" s="73">
        <f>F19+G19+H19+I19+J19</f>
        <v>0.18196000000000001</v>
      </c>
      <c r="F19" s="68">
        <v>0.18196000000000001</v>
      </c>
      <c r="G19" s="73">
        <v>0</v>
      </c>
      <c r="H19" s="73">
        <v>0</v>
      </c>
      <c r="I19" s="73">
        <v>0</v>
      </c>
      <c r="J19" s="73">
        <v>0</v>
      </c>
      <c r="K19" s="19"/>
      <c r="L19" s="19"/>
      <c r="M19" s="19"/>
      <c r="N19" s="19"/>
      <c r="O19" s="19"/>
    </row>
    <row r="20" spans="1:15" s="20" customFormat="1" ht="12" customHeight="1" x14ac:dyDescent="0.2">
      <c r="A20" s="125"/>
      <c r="B20" s="160"/>
      <c r="C20" s="110"/>
      <c r="D20" s="72" t="s">
        <v>9</v>
      </c>
      <c r="E20" s="78">
        <f>SUM(G20:J20)</f>
        <v>0</v>
      </c>
      <c r="F20" s="73">
        <v>0</v>
      </c>
      <c r="G20" s="73">
        <v>0</v>
      </c>
      <c r="H20" s="73">
        <v>0</v>
      </c>
      <c r="I20" s="73">
        <v>0</v>
      </c>
      <c r="J20" s="73">
        <v>0</v>
      </c>
      <c r="K20" s="19"/>
      <c r="L20" s="19"/>
      <c r="M20" s="19"/>
      <c r="N20" s="19"/>
      <c r="O20" s="19"/>
    </row>
    <row r="21" spans="1:15" s="20" customFormat="1" ht="24" x14ac:dyDescent="0.2">
      <c r="A21" s="125"/>
      <c r="B21" s="160"/>
      <c r="C21" s="110"/>
      <c r="D21" s="74" t="s">
        <v>10</v>
      </c>
      <c r="E21" s="78">
        <f>SUM(G21:J21)</f>
        <v>0</v>
      </c>
      <c r="F21" s="73">
        <v>0</v>
      </c>
      <c r="G21" s="73">
        <v>0</v>
      </c>
      <c r="H21" s="73">
        <v>0</v>
      </c>
      <c r="I21" s="73">
        <v>0</v>
      </c>
      <c r="J21" s="73">
        <v>0</v>
      </c>
      <c r="K21" s="19"/>
      <c r="L21" s="19"/>
      <c r="M21" s="19"/>
      <c r="N21" s="19"/>
      <c r="O21" s="19"/>
    </row>
    <row r="22" spans="1:15" s="20" customFormat="1" ht="12" customHeight="1" x14ac:dyDescent="0.2">
      <c r="A22" s="125"/>
      <c r="B22" s="160"/>
      <c r="C22" s="110"/>
      <c r="D22" s="72" t="s">
        <v>11</v>
      </c>
      <c r="G22" s="73">
        <v>0</v>
      </c>
      <c r="H22" s="73">
        <v>0</v>
      </c>
      <c r="I22" s="73">
        <v>0</v>
      </c>
      <c r="J22" s="73">
        <v>0</v>
      </c>
      <c r="K22" s="19"/>
      <c r="L22" s="19"/>
      <c r="M22" s="19"/>
      <c r="N22" s="19"/>
      <c r="O22" s="19"/>
    </row>
    <row r="23" spans="1:15" s="20" customFormat="1" ht="12" customHeight="1" x14ac:dyDescent="0.2">
      <c r="A23" s="125"/>
      <c r="B23" s="160"/>
      <c r="C23" s="110"/>
      <c r="D23" s="72" t="s">
        <v>12</v>
      </c>
      <c r="E23" s="78">
        <f>SUM(G23:J23)</f>
        <v>0</v>
      </c>
      <c r="F23" s="73">
        <v>0</v>
      </c>
      <c r="G23" s="73">
        <v>0</v>
      </c>
      <c r="H23" s="73">
        <v>0</v>
      </c>
      <c r="I23" s="73">
        <v>0</v>
      </c>
      <c r="J23" s="73">
        <v>0</v>
      </c>
      <c r="K23" s="19"/>
      <c r="L23" s="19"/>
      <c r="M23" s="19"/>
      <c r="N23" s="19"/>
      <c r="O23" s="19"/>
    </row>
    <row r="24" spans="1:15" s="20" customFormat="1" ht="12" customHeight="1" x14ac:dyDescent="0.2">
      <c r="A24" s="125"/>
      <c r="B24" s="160"/>
      <c r="C24" s="110" t="s">
        <v>129</v>
      </c>
      <c r="D24" s="88" t="s">
        <v>5</v>
      </c>
      <c r="E24" s="78">
        <f>E25+E26+E27+E28+E30</f>
        <v>17462.018039999999</v>
      </c>
      <c r="F24" s="73">
        <f>F25+F26</f>
        <v>17462.018039999999</v>
      </c>
      <c r="G24" s="73">
        <f t="shared" ref="G24:J24" si="10">G25+G26+G27+G28+G30</f>
        <v>0</v>
      </c>
      <c r="H24" s="73">
        <f t="shared" ref="H24:I24" si="11">H25+H26+H27+H28+H30</f>
        <v>0</v>
      </c>
      <c r="I24" s="73">
        <f t="shared" si="11"/>
        <v>0</v>
      </c>
      <c r="J24" s="73">
        <f t="shared" si="10"/>
        <v>0</v>
      </c>
      <c r="K24" s="19"/>
      <c r="L24" s="19"/>
      <c r="M24" s="19"/>
      <c r="N24" s="19"/>
      <c r="O24" s="19"/>
    </row>
    <row r="25" spans="1:15" s="20" customFormat="1" ht="12" customHeight="1" x14ac:dyDescent="0.2">
      <c r="A25" s="125"/>
      <c r="B25" s="160"/>
      <c r="C25" s="110"/>
      <c r="D25" s="72" t="s">
        <v>7</v>
      </c>
      <c r="E25" s="78">
        <f>SUM(G25:J25)</f>
        <v>0</v>
      </c>
      <c r="F25" s="73">
        <v>0</v>
      </c>
      <c r="G25" s="73">
        <v>0</v>
      </c>
      <c r="H25" s="73">
        <v>0</v>
      </c>
      <c r="I25" s="73">
        <v>0</v>
      </c>
      <c r="J25" s="73">
        <v>0</v>
      </c>
      <c r="K25" s="19"/>
      <c r="L25" s="19"/>
      <c r="M25" s="71"/>
      <c r="N25" s="19"/>
      <c r="O25" s="19"/>
    </row>
    <row r="26" spans="1:15" s="20" customFormat="1" ht="12" customHeight="1" x14ac:dyDescent="0.2">
      <c r="A26" s="125"/>
      <c r="B26" s="160"/>
      <c r="C26" s="110"/>
      <c r="D26" s="72" t="s">
        <v>8</v>
      </c>
      <c r="E26" s="78">
        <f>F26+G26+H26+I26+J26</f>
        <v>17462.018039999999</v>
      </c>
      <c r="F26" s="73">
        <f>14384.3+3077.9-0.13285-0.04911</f>
        <v>17462.018039999999</v>
      </c>
      <c r="G26" s="73">
        <v>0</v>
      </c>
      <c r="H26" s="73">
        <v>0</v>
      </c>
      <c r="I26" s="73">
        <v>0</v>
      </c>
      <c r="J26" s="73">
        <v>0</v>
      </c>
      <c r="K26" s="19"/>
      <c r="L26" s="19"/>
      <c r="M26" s="71"/>
      <c r="N26" s="19"/>
      <c r="O26" s="19"/>
    </row>
    <row r="27" spans="1:15" s="20" customFormat="1" ht="12" customHeight="1" x14ac:dyDescent="0.2">
      <c r="A27" s="125"/>
      <c r="B27" s="160"/>
      <c r="C27" s="110"/>
      <c r="D27" s="72" t="s">
        <v>9</v>
      </c>
      <c r="E27" s="78">
        <f t="shared" ref="E27:E30" si="12">F27+G27+H27+I27+J27</f>
        <v>0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19"/>
      <c r="L27" s="19"/>
      <c r="M27" s="71"/>
      <c r="N27" s="19"/>
      <c r="O27" s="19"/>
    </row>
    <row r="28" spans="1:15" s="20" customFormat="1" ht="24" x14ac:dyDescent="0.2">
      <c r="A28" s="125"/>
      <c r="B28" s="160"/>
      <c r="C28" s="110"/>
      <c r="D28" s="74" t="s">
        <v>10</v>
      </c>
      <c r="E28" s="78">
        <f t="shared" si="12"/>
        <v>0</v>
      </c>
      <c r="F28" s="73">
        <v>0</v>
      </c>
      <c r="G28" s="73">
        <v>0</v>
      </c>
      <c r="H28" s="73">
        <v>0</v>
      </c>
      <c r="I28" s="73">
        <v>0</v>
      </c>
      <c r="J28" s="73">
        <v>0</v>
      </c>
      <c r="K28" s="19"/>
      <c r="L28" s="19"/>
      <c r="M28" s="71"/>
      <c r="N28" s="19"/>
      <c r="O28" s="19"/>
    </row>
    <row r="29" spans="1:15" s="20" customFormat="1" ht="12" customHeight="1" x14ac:dyDescent="0.2">
      <c r="A29" s="125"/>
      <c r="B29" s="160"/>
      <c r="C29" s="110"/>
      <c r="D29" s="72" t="s">
        <v>11</v>
      </c>
      <c r="E29" s="78">
        <f t="shared" si="12"/>
        <v>2158.2494499999998</v>
      </c>
      <c r="F29" s="73">
        <f>1777.83484+380.41461</f>
        <v>2158.2494499999998</v>
      </c>
      <c r="G29" s="73">
        <v>0</v>
      </c>
      <c r="H29" s="73">
        <v>0</v>
      </c>
      <c r="I29" s="73">
        <v>0</v>
      </c>
      <c r="J29" s="73">
        <v>0</v>
      </c>
      <c r="K29" s="19"/>
      <c r="L29" s="19"/>
      <c r="M29" s="71"/>
      <c r="N29" s="19"/>
      <c r="O29" s="19"/>
    </row>
    <row r="30" spans="1:15" s="20" customFormat="1" ht="12" customHeight="1" x14ac:dyDescent="0.2">
      <c r="A30" s="126"/>
      <c r="B30" s="161"/>
      <c r="C30" s="110"/>
      <c r="D30" s="72" t="s">
        <v>12</v>
      </c>
      <c r="E30" s="78">
        <f t="shared" si="12"/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19"/>
      <c r="L30" s="19"/>
      <c r="M30" s="71"/>
      <c r="N30" s="19"/>
      <c r="O30" s="19"/>
    </row>
    <row r="31" spans="1:15" s="20" customFormat="1" ht="12" customHeight="1" x14ac:dyDescent="0.2">
      <c r="A31" s="124" t="s">
        <v>44</v>
      </c>
      <c r="B31" s="159" t="s">
        <v>146</v>
      </c>
      <c r="C31" s="120" t="s">
        <v>130</v>
      </c>
      <c r="D31" s="69" t="s">
        <v>5</v>
      </c>
      <c r="E31" s="78">
        <f>E32+E33+E34+E37+E35+E36</f>
        <v>3699559.4212000002</v>
      </c>
      <c r="F31" s="78">
        <f>F33+F34+F35+F36+F37</f>
        <v>1344611.41579</v>
      </c>
      <c r="G31" s="78">
        <f>G33+G34+G35+G36+G37</f>
        <v>1577438.50923</v>
      </c>
      <c r="H31" s="78">
        <f t="shared" ref="H31:I31" si="13">H33+H34+H35+H36+H37</f>
        <v>118287.52808999999</v>
      </c>
      <c r="I31" s="78">
        <f t="shared" si="13"/>
        <v>118287.52808999999</v>
      </c>
      <c r="J31" s="78">
        <f t="shared" ref="J31" si="14">J33+J34+J35+J36+J37</f>
        <v>540934.44000000006</v>
      </c>
      <c r="K31" s="19"/>
      <c r="L31" s="19"/>
      <c r="M31" s="71"/>
      <c r="N31" s="19"/>
      <c r="O31" s="19"/>
    </row>
    <row r="32" spans="1:15" s="20" customFormat="1" ht="12" customHeight="1" x14ac:dyDescent="0.2">
      <c r="A32" s="125"/>
      <c r="B32" s="160"/>
      <c r="C32" s="121"/>
      <c r="D32" s="72" t="s">
        <v>7</v>
      </c>
      <c r="E32" s="73">
        <v>0</v>
      </c>
      <c r="F32" s="73">
        <v>0</v>
      </c>
      <c r="G32" s="73">
        <v>0</v>
      </c>
      <c r="H32" s="73">
        <v>0</v>
      </c>
      <c r="I32" s="73">
        <v>0</v>
      </c>
      <c r="J32" s="73">
        <v>0</v>
      </c>
      <c r="K32" s="19"/>
      <c r="L32" s="19"/>
      <c r="M32" s="71"/>
      <c r="N32" s="19"/>
      <c r="O32" s="19"/>
    </row>
    <row r="33" spans="1:15" s="20" customFormat="1" ht="12" customHeight="1" x14ac:dyDescent="0.2">
      <c r="A33" s="125"/>
      <c r="B33" s="160"/>
      <c r="C33" s="121"/>
      <c r="D33" s="72" t="s">
        <v>8</v>
      </c>
      <c r="E33" s="78">
        <f>SUM(F33:J33)</f>
        <v>3151707.29788</v>
      </c>
      <c r="F33" s="73">
        <f>F40+F47</f>
        <v>1194554.23805</v>
      </c>
      <c r="G33" s="73">
        <f t="shared" ref="G33:J34" si="15">G40+G47</f>
        <v>1395724.85983</v>
      </c>
      <c r="H33" s="73">
        <f t="shared" ref="H33:I33" si="16">H40+H47</f>
        <v>105275.9</v>
      </c>
      <c r="I33" s="73">
        <f t="shared" si="16"/>
        <v>105275.9</v>
      </c>
      <c r="J33" s="73">
        <f t="shared" si="15"/>
        <v>350876.4</v>
      </c>
      <c r="K33" s="19"/>
      <c r="L33" s="19"/>
      <c r="M33" s="71"/>
      <c r="N33" s="19"/>
      <c r="O33" s="19"/>
    </row>
    <row r="34" spans="1:15" s="20" customFormat="1" ht="12" customHeight="1" x14ac:dyDescent="0.2">
      <c r="A34" s="125"/>
      <c r="B34" s="160"/>
      <c r="C34" s="121"/>
      <c r="D34" s="72" t="s">
        <v>9</v>
      </c>
      <c r="E34" s="78">
        <f>SUM(F34:J34)</f>
        <v>547852.12332000013</v>
      </c>
      <c r="F34" s="73">
        <f>F41+F48</f>
        <v>150057.17774000001</v>
      </c>
      <c r="G34" s="73">
        <f>G41+G48</f>
        <v>181713.64940000002</v>
      </c>
      <c r="H34" s="73">
        <f t="shared" ref="H34:I34" si="17">H41+H48</f>
        <v>13011.62809</v>
      </c>
      <c r="I34" s="73">
        <f t="shared" si="17"/>
        <v>13011.62809</v>
      </c>
      <c r="J34" s="73">
        <f t="shared" si="15"/>
        <v>190058.04</v>
      </c>
      <c r="K34" s="19"/>
      <c r="L34" s="19"/>
      <c r="M34" s="71"/>
      <c r="N34" s="19"/>
      <c r="O34" s="19"/>
    </row>
    <row r="35" spans="1:15" s="20" customFormat="1" ht="12" customHeight="1" x14ac:dyDescent="0.2">
      <c r="A35" s="125"/>
      <c r="B35" s="160"/>
      <c r="C35" s="121"/>
      <c r="D35" s="74" t="s">
        <v>10</v>
      </c>
      <c r="E35" s="78">
        <f t="shared" ref="E35:E40" si="18">SUM(F35:J35)</f>
        <v>0</v>
      </c>
      <c r="F35" s="73">
        <v>0</v>
      </c>
      <c r="G35" s="73">
        <v>0</v>
      </c>
      <c r="H35" s="73">
        <v>0</v>
      </c>
      <c r="I35" s="73">
        <v>0</v>
      </c>
      <c r="J35" s="73">
        <v>0</v>
      </c>
      <c r="K35" s="19"/>
      <c r="L35" s="19"/>
      <c r="M35" s="71"/>
      <c r="N35" s="19"/>
      <c r="O35" s="19"/>
    </row>
    <row r="36" spans="1:15" s="20" customFormat="1" ht="12" customHeight="1" x14ac:dyDescent="0.2">
      <c r="A36" s="125"/>
      <c r="B36" s="160"/>
      <c r="C36" s="121"/>
      <c r="D36" s="72" t="s">
        <v>11</v>
      </c>
      <c r="E36" s="78">
        <f t="shared" si="18"/>
        <v>0</v>
      </c>
      <c r="F36" s="73">
        <v>0</v>
      </c>
      <c r="G36" s="73">
        <v>0</v>
      </c>
      <c r="H36" s="73">
        <v>0</v>
      </c>
      <c r="I36" s="73">
        <v>0</v>
      </c>
      <c r="J36" s="73">
        <v>0</v>
      </c>
      <c r="K36" s="19"/>
      <c r="L36" s="19"/>
      <c r="M36" s="71"/>
      <c r="N36" s="19"/>
      <c r="O36" s="19"/>
    </row>
    <row r="37" spans="1:15" s="20" customFormat="1" ht="12" customHeight="1" x14ac:dyDescent="0.2">
      <c r="A37" s="125"/>
      <c r="B37" s="160"/>
      <c r="C37" s="122"/>
      <c r="D37" s="72" t="s">
        <v>12</v>
      </c>
      <c r="E37" s="78">
        <f t="shared" si="18"/>
        <v>0</v>
      </c>
      <c r="F37" s="73">
        <f t="shared" ref="F37" si="19">F44+F51</f>
        <v>0</v>
      </c>
      <c r="G37" s="73">
        <f t="shared" ref="G37:J37" si="20">G44+G51</f>
        <v>0</v>
      </c>
      <c r="H37" s="73">
        <f t="shared" ref="H37:I37" si="21">H44+H51</f>
        <v>0</v>
      </c>
      <c r="I37" s="73">
        <f t="shared" si="21"/>
        <v>0</v>
      </c>
      <c r="J37" s="73">
        <f t="shared" si="20"/>
        <v>0</v>
      </c>
      <c r="K37" s="19"/>
      <c r="L37" s="19"/>
      <c r="M37" s="71"/>
      <c r="N37" s="19"/>
      <c r="O37" s="19"/>
    </row>
    <row r="38" spans="1:15" ht="12" customHeight="1" x14ac:dyDescent="0.2">
      <c r="A38" s="125"/>
      <c r="B38" s="160"/>
      <c r="C38" s="110" t="s">
        <v>29</v>
      </c>
      <c r="D38" s="69" t="s">
        <v>5</v>
      </c>
      <c r="E38" s="78">
        <f t="shared" si="18"/>
        <v>3280946.16298</v>
      </c>
      <c r="F38" s="78">
        <f t="shared" ref="F38" si="22">F39+F40+F41+F42+F44</f>
        <v>1196856.1163000001</v>
      </c>
      <c r="G38" s="78">
        <f t="shared" ref="G38" si="23">G39+G40+G41+G42+G44</f>
        <v>1306580.5504999999</v>
      </c>
      <c r="H38" s="78">
        <f t="shared" ref="H38:I38" si="24">H39+H40+H41+H42+H44</f>
        <v>118287.52808999999</v>
      </c>
      <c r="I38" s="78">
        <f t="shared" si="24"/>
        <v>118287.52808999999</v>
      </c>
      <c r="J38" s="78">
        <f>J39+J40+J41+J42+J44</f>
        <v>540934.44000000006</v>
      </c>
    </row>
    <row r="39" spans="1:15" ht="12" customHeight="1" x14ac:dyDescent="0.2">
      <c r="A39" s="125"/>
      <c r="B39" s="160"/>
      <c r="C39" s="110"/>
      <c r="D39" s="72" t="s">
        <v>7</v>
      </c>
      <c r="E39" s="78">
        <f t="shared" si="18"/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</row>
    <row r="40" spans="1:15" ht="12" customHeight="1" x14ac:dyDescent="0.2">
      <c r="A40" s="125"/>
      <c r="B40" s="160"/>
      <c r="C40" s="110"/>
      <c r="D40" s="72" t="s">
        <v>8</v>
      </c>
      <c r="E40" s="78">
        <f t="shared" si="18"/>
        <v>2786172.4286199999</v>
      </c>
      <c r="F40" s="73">
        <f>83767.4+470.45+529.55-22695+63102.3+3960.5-26953.1904+1012329.78163-49003.36974-1293.26435</f>
        <v>1064215.15714</v>
      </c>
      <c r="G40" s="91">
        <f>1186064.04-23112.61535-3666.355-17028.548+15032.05983+3240.49</f>
        <v>1160529.0714799999</v>
      </c>
      <c r="H40" s="92">
        <v>105275.9</v>
      </c>
      <c r="I40" s="73">
        <v>105275.9</v>
      </c>
      <c r="J40" s="73">
        <v>350876.4</v>
      </c>
    </row>
    <row r="41" spans="1:15" ht="12" customHeight="1" x14ac:dyDescent="0.2">
      <c r="A41" s="125"/>
      <c r="B41" s="160"/>
      <c r="C41" s="110"/>
      <c r="D41" s="72" t="s">
        <v>9</v>
      </c>
      <c r="E41" s="78">
        <f>SUM(F41:J41)</f>
        <v>494773.73436000012</v>
      </c>
      <c r="F41" s="76">
        <f>111658.53415+10000+14399.16067-3416.73566</f>
        <v>132640.95916</v>
      </c>
      <c r="G41" s="91">
        <f>179783.15025-2856.68565-453.145-2104.652+1857.89504+400.51+70.27-30575.66389-70.19973</f>
        <v>146051.47902000003</v>
      </c>
      <c r="H41" s="93">
        <f>11580.349+1431.27909</f>
        <v>13011.62809</v>
      </c>
      <c r="I41" s="73">
        <f>11580.349+1431.27909</f>
        <v>13011.62809</v>
      </c>
      <c r="J41" s="73">
        <v>190058.04</v>
      </c>
    </row>
    <row r="42" spans="1:15" ht="24" x14ac:dyDescent="0.2">
      <c r="A42" s="125"/>
      <c r="B42" s="160"/>
      <c r="C42" s="110"/>
      <c r="D42" s="74" t="s">
        <v>10</v>
      </c>
      <c r="E42" s="78">
        <f t="shared" ref="E42:E100" si="25">SUM(F42:J42)</f>
        <v>0</v>
      </c>
      <c r="F42" s="73">
        <v>0</v>
      </c>
      <c r="G42" s="73">
        <v>0</v>
      </c>
      <c r="H42" s="73">
        <v>0</v>
      </c>
      <c r="I42" s="73">
        <v>0</v>
      </c>
      <c r="J42" s="73">
        <v>0</v>
      </c>
    </row>
    <row r="43" spans="1:15" ht="12" customHeight="1" x14ac:dyDescent="0.2">
      <c r="A43" s="125"/>
      <c r="B43" s="160"/>
      <c r="C43" s="110"/>
      <c r="D43" s="72" t="s">
        <v>11</v>
      </c>
      <c r="E43" s="78">
        <f t="shared" si="25"/>
        <v>0</v>
      </c>
      <c r="F43" s="73">
        <v>0</v>
      </c>
      <c r="G43" s="73">
        <v>0</v>
      </c>
      <c r="H43" s="73">
        <v>0</v>
      </c>
      <c r="I43" s="73">
        <v>0</v>
      </c>
      <c r="J43" s="73">
        <v>0</v>
      </c>
    </row>
    <row r="44" spans="1:15" ht="12" customHeight="1" x14ac:dyDescent="0.2">
      <c r="A44" s="125"/>
      <c r="B44" s="160"/>
      <c r="C44" s="110"/>
      <c r="D44" s="72" t="s">
        <v>12</v>
      </c>
      <c r="E44" s="78">
        <f t="shared" si="25"/>
        <v>0</v>
      </c>
      <c r="F44" s="73">
        <v>0</v>
      </c>
      <c r="G44" s="73">
        <v>0</v>
      </c>
      <c r="H44" s="73">
        <v>0</v>
      </c>
      <c r="I44" s="73">
        <v>0</v>
      </c>
      <c r="J44" s="73">
        <v>0</v>
      </c>
    </row>
    <row r="45" spans="1:15" ht="12" customHeight="1" x14ac:dyDescent="0.2">
      <c r="A45" s="125"/>
      <c r="B45" s="160"/>
      <c r="C45" s="110" t="s">
        <v>129</v>
      </c>
      <c r="D45" s="69" t="s">
        <v>5</v>
      </c>
      <c r="E45" s="78">
        <f t="shared" si="25"/>
        <v>418613.25822000008</v>
      </c>
      <c r="F45" s="78">
        <f t="shared" ref="F45" si="26">F46+F47+F48+F49+F51</f>
        <v>147755.29949</v>
      </c>
      <c r="G45" s="78">
        <f t="shared" ref="G45:J45" si="27">G46+G47+G48+G49+G51</f>
        <v>270857.95873000007</v>
      </c>
      <c r="H45" s="78">
        <f t="shared" ref="H45:I45" si="28">H46+H47+H48+H49+H51</f>
        <v>0</v>
      </c>
      <c r="I45" s="78">
        <f t="shared" si="28"/>
        <v>0</v>
      </c>
      <c r="J45" s="78">
        <f t="shared" si="27"/>
        <v>0</v>
      </c>
    </row>
    <row r="46" spans="1:15" ht="12" customHeight="1" x14ac:dyDescent="0.2">
      <c r="A46" s="125"/>
      <c r="B46" s="160"/>
      <c r="C46" s="110"/>
      <c r="D46" s="72" t="s">
        <v>7</v>
      </c>
      <c r="E46" s="78">
        <f t="shared" si="25"/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</row>
    <row r="47" spans="1:15" ht="12" customHeight="1" x14ac:dyDescent="0.2">
      <c r="A47" s="125"/>
      <c r="B47" s="160"/>
      <c r="C47" s="110"/>
      <c r="D47" s="72" t="s">
        <v>8</v>
      </c>
      <c r="E47" s="78">
        <f t="shared" si="25"/>
        <v>365534.86926000006</v>
      </c>
      <c r="F47" s="73">
        <f>49003.36974+81335.71117</f>
        <v>130339.08090999999</v>
      </c>
      <c r="G47" s="73">
        <f>194628.76+23112.61535+3666.355+17028.548-3240.49</f>
        <v>235195.78835000005</v>
      </c>
      <c r="H47" s="73">
        <v>0</v>
      </c>
      <c r="I47" s="73">
        <v>0</v>
      </c>
      <c r="J47" s="73">
        <v>0</v>
      </c>
    </row>
    <row r="48" spans="1:15" ht="12" customHeight="1" x14ac:dyDescent="0.2">
      <c r="A48" s="125"/>
      <c r="B48" s="160"/>
      <c r="C48" s="110"/>
      <c r="D48" s="72" t="s">
        <v>9</v>
      </c>
      <c r="E48" s="78">
        <f t="shared" si="25"/>
        <v>53078.388960000004</v>
      </c>
      <c r="F48" s="73">
        <f>6056.59626+11359.62232</f>
        <v>17416.218580000001</v>
      </c>
      <c r="G48" s="73">
        <f>30648.268+2856.68565+453.145+2104.652-400.51-70.27+70.19973</f>
        <v>35662.170380000003</v>
      </c>
      <c r="H48" s="73">
        <v>0</v>
      </c>
      <c r="I48" s="73">
        <v>0</v>
      </c>
      <c r="J48" s="73">
        <v>0</v>
      </c>
    </row>
    <row r="49" spans="1:10" ht="24" x14ac:dyDescent="0.2">
      <c r="A49" s="125"/>
      <c r="B49" s="160"/>
      <c r="C49" s="110"/>
      <c r="D49" s="74" t="s">
        <v>10</v>
      </c>
      <c r="E49" s="78">
        <f t="shared" si="25"/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</row>
    <row r="50" spans="1:10" ht="12" customHeight="1" x14ac:dyDescent="0.2">
      <c r="A50" s="125"/>
      <c r="B50" s="160"/>
      <c r="C50" s="110"/>
      <c r="D50" s="72" t="s">
        <v>11</v>
      </c>
      <c r="E50" s="78">
        <f t="shared" si="25"/>
        <v>0</v>
      </c>
      <c r="F50" s="73"/>
      <c r="G50" s="73">
        <v>0</v>
      </c>
      <c r="H50" s="73">
        <v>0</v>
      </c>
      <c r="I50" s="73">
        <v>0</v>
      </c>
      <c r="J50" s="73">
        <v>0</v>
      </c>
    </row>
    <row r="51" spans="1:10" ht="12" customHeight="1" x14ac:dyDescent="0.2">
      <c r="A51" s="126"/>
      <c r="B51" s="161"/>
      <c r="C51" s="110"/>
      <c r="D51" s="72" t="s">
        <v>12</v>
      </c>
      <c r="E51" s="78">
        <f t="shared" si="25"/>
        <v>0</v>
      </c>
      <c r="F51" s="73">
        <v>0</v>
      </c>
      <c r="G51" s="73">
        <v>0</v>
      </c>
      <c r="H51" s="73">
        <v>0</v>
      </c>
      <c r="I51" s="73">
        <v>0</v>
      </c>
      <c r="J51" s="73">
        <v>0</v>
      </c>
    </row>
    <row r="52" spans="1:10" ht="12" customHeight="1" x14ac:dyDescent="0.2">
      <c r="A52" s="127" t="s">
        <v>80</v>
      </c>
      <c r="B52" s="129" t="s">
        <v>147</v>
      </c>
      <c r="C52" s="110" t="s">
        <v>129</v>
      </c>
      <c r="D52" s="69" t="s">
        <v>5</v>
      </c>
      <c r="E52" s="78">
        <f t="shared" si="25"/>
        <v>0</v>
      </c>
      <c r="F52" s="78">
        <f t="shared" ref="F52" si="29">F53+F54+F55+F56+F58</f>
        <v>0</v>
      </c>
      <c r="G52" s="78">
        <f t="shared" ref="G52:J52" si="30">G53+G54+G55+G56+G58</f>
        <v>0</v>
      </c>
      <c r="H52" s="78">
        <f t="shared" ref="H52:I52" si="31">H53+H54+H55+H56+H58</f>
        <v>0</v>
      </c>
      <c r="I52" s="78">
        <f t="shared" si="31"/>
        <v>0</v>
      </c>
      <c r="J52" s="78">
        <f t="shared" si="30"/>
        <v>0</v>
      </c>
    </row>
    <row r="53" spans="1:10" x14ac:dyDescent="0.2">
      <c r="A53" s="128"/>
      <c r="B53" s="130"/>
      <c r="C53" s="110"/>
      <c r="D53" s="72" t="s">
        <v>7</v>
      </c>
      <c r="E53" s="78">
        <f t="shared" si="25"/>
        <v>0</v>
      </c>
      <c r="F53" s="73">
        <v>0</v>
      </c>
      <c r="G53" s="73">
        <v>0</v>
      </c>
      <c r="H53" s="73">
        <v>0</v>
      </c>
      <c r="I53" s="73">
        <v>0</v>
      </c>
      <c r="J53" s="73">
        <v>0</v>
      </c>
    </row>
    <row r="54" spans="1:10" x14ac:dyDescent="0.2">
      <c r="A54" s="128"/>
      <c r="B54" s="130"/>
      <c r="C54" s="110"/>
      <c r="D54" s="72" t="s">
        <v>8</v>
      </c>
      <c r="E54" s="78">
        <f t="shared" si="25"/>
        <v>0</v>
      </c>
      <c r="F54" s="73">
        <v>0</v>
      </c>
      <c r="G54" s="73">
        <v>0</v>
      </c>
      <c r="H54" s="73">
        <v>0</v>
      </c>
      <c r="I54" s="73">
        <v>0</v>
      </c>
      <c r="J54" s="73">
        <v>0</v>
      </c>
    </row>
    <row r="55" spans="1:10" x14ac:dyDescent="0.2">
      <c r="A55" s="128"/>
      <c r="B55" s="130"/>
      <c r="C55" s="110"/>
      <c r="D55" s="72" t="s">
        <v>9</v>
      </c>
      <c r="E55" s="78">
        <f t="shared" si="25"/>
        <v>0</v>
      </c>
      <c r="F55" s="73">
        <v>0</v>
      </c>
      <c r="G55" s="73">
        <v>0</v>
      </c>
      <c r="H55" s="73">
        <v>0</v>
      </c>
      <c r="I55" s="73">
        <v>0</v>
      </c>
      <c r="J55" s="73">
        <v>0</v>
      </c>
    </row>
    <row r="56" spans="1:10" ht="24" x14ac:dyDescent="0.2">
      <c r="A56" s="128"/>
      <c r="B56" s="130"/>
      <c r="C56" s="110"/>
      <c r="D56" s="74" t="s">
        <v>10</v>
      </c>
      <c r="E56" s="78">
        <f t="shared" si="25"/>
        <v>0</v>
      </c>
      <c r="F56" s="73">
        <v>0</v>
      </c>
      <c r="G56" s="73">
        <v>0</v>
      </c>
      <c r="H56" s="73">
        <v>0</v>
      </c>
      <c r="I56" s="73">
        <v>0</v>
      </c>
      <c r="J56" s="73">
        <v>0</v>
      </c>
    </row>
    <row r="57" spans="1:10" x14ac:dyDescent="0.2">
      <c r="A57" s="128"/>
      <c r="B57" s="130"/>
      <c r="C57" s="110"/>
      <c r="D57" s="72" t="s">
        <v>11</v>
      </c>
      <c r="E57" s="78">
        <f t="shared" si="25"/>
        <v>0</v>
      </c>
      <c r="F57" s="73">
        <v>0</v>
      </c>
      <c r="G57" s="73">
        <v>0</v>
      </c>
      <c r="H57" s="73">
        <v>0</v>
      </c>
      <c r="I57" s="73">
        <v>0</v>
      </c>
      <c r="J57" s="73">
        <v>0</v>
      </c>
    </row>
    <row r="58" spans="1:10" x14ac:dyDescent="0.2">
      <c r="A58" s="128"/>
      <c r="B58" s="130"/>
      <c r="C58" s="110"/>
      <c r="D58" s="72" t="s">
        <v>12</v>
      </c>
      <c r="E58" s="78">
        <f t="shared" si="25"/>
        <v>0</v>
      </c>
      <c r="F58" s="73">
        <v>0</v>
      </c>
      <c r="G58" s="73">
        <v>0</v>
      </c>
      <c r="H58" s="73">
        <v>0</v>
      </c>
      <c r="I58" s="73">
        <v>0</v>
      </c>
      <c r="J58" s="73">
        <v>0</v>
      </c>
    </row>
    <row r="59" spans="1:10" ht="15.75" customHeight="1" x14ac:dyDescent="0.2">
      <c r="A59" s="124" t="s">
        <v>81</v>
      </c>
      <c r="B59" s="111" t="s">
        <v>148</v>
      </c>
      <c r="C59" s="110" t="s">
        <v>129</v>
      </c>
      <c r="D59" s="69" t="s">
        <v>5</v>
      </c>
      <c r="E59" s="78">
        <f t="shared" si="25"/>
        <v>9300.8319200000005</v>
      </c>
      <c r="F59" s="78">
        <f t="shared" ref="F59:J59" si="32">F60+F61+F62+F63+F65</f>
        <v>9300.8319200000005</v>
      </c>
      <c r="G59" s="78">
        <f t="shared" si="32"/>
        <v>0</v>
      </c>
      <c r="H59" s="78">
        <f t="shared" ref="H59:I59" si="33">H60+H61+H62+H63+H65</f>
        <v>0</v>
      </c>
      <c r="I59" s="78">
        <f t="shared" si="33"/>
        <v>0</v>
      </c>
      <c r="J59" s="78">
        <f t="shared" si="32"/>
        <v>0</v>
      </c>
    </row>
    <row r="60" spans="1:10" ht="12" customHeight="1" x14ac:dyDescent="0.2">
      <c r="A60" s="125"/>
      <c r="B60" s="112"/>
      <c r="C60" s="110"/>
      <c r="D60" s="72" t="s">
        <v>7</v>
      </c>
      <c r="E60" s="78">
        <f t="shared" si="25"/>
        <v>0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</row>
    <row r="61" spans="1:10" ht="12" customHeight="1" x14ac:dyDescent="0.2">
      <c r="A61" s="125"/>
      <c r="B61" s="112"/>
      <c r="C61" s="110"/>
      <c r="D61" s="72" t="s">
        <v>8</v>
      </c>
      <c r="E61" s="78">
        <f t="shared" si="25"/>
        <v>8815.9191800000008</v>
      </c>
      <c r="F61" s="73">
        <f>F68+F75</f>
        <v>8815.9191800000008</v>
      </c>
      <c r="G61" s="73">
        <v>0</v>
      </c>
      <c r="H61" s="73">
        <v>0</v>
      </c>
      <c r="I61" s="73">
        <v>0</v>
      </c>
      <c r="J61" s="73">
        <v>0</v>
      </c>
    </row>
    <row r="62" spans="1:10" ht="12" customHeight="1" x14ac:dyDescent="0.2">
      <c r="A62" s="125"/>
      <c r="B62" s="112"/>
      <c r="C62" s="110"/>
      <c r="D62" s="72" t="s">
        <v>9</v>
      </c>
      <c r="E62" s="78">
        <f t="shared" si="25"/>
        <v>484.91273999999999</v>
      </c>
      <c r="F62" s="73">
        <f>F69+F76</f>
        <v>484.91273999999999</v>
      </c>
      <c r="G62" s="73">
        <v>0</v>
      </c>
      <c r="H62" s="73">
        <v>0</v>
      </c>
      <c r="I62" s="73">
        <v>0</v>
      </c>
      <c r="J62" s="73">
        <v>0</v>
      </c>
    </row>
    <row r="63" spans="1:10" ht="24" x14ac:dyDescent="0.2">
      <c r="A63" s="125"/>
      <c r="B63" s="112"/>
      <c r="C63" s="110"/>
      <c r="D63" s="74" t="s">
        <v>10</v>
      </c>
      <c r="E63" s="78">
        <f t="shared" si="25"/>
        <v>0</v>
      </c>
      <c r="F63" s="73">
        <v>0</v>
      </c>
      <c r="G63" s="73">
        <v>0</v>
      </c>
      <c r="H63" s="73">
        <v>0</v>
      </c>
      <c r="I63" s="73">
        <v>0</v>
      </c>
      <c r="J63" s="73">
        <v>0</v>
      </c>
    </row>
    <row r="64" spans="1:10" ht="12" customHeight="1" x14ac:dyDescent="0.2">
      <c r="A64" s="125"/>
      <c r="B64" s="112"/>
      <c r="C64" s="110"/>
      <c r="D64" s="72" t="s">
        <v>11</v>
      </c>
      <c r="E64" s="78">
        <f t="shared" si="25"/>
        <v>635.49523999999997</v>
      </c>
      <c r="F64" s="73">
        <f>F71+F78</f>
        <v>635.49523999999997</v>
      </c>
      <c r="G64" s="73">
        <v>0</v>
      </c>
      <c r="H64" s="73">
        <v>0</v>
      </c>
      <c r="I64" s="73">
        <v>0</v>
      </c>
      <c r="J64" s="73">
        <v>0</v>
      </c>
    </row>
    <row r="65" spans="1:10" ht="12" customHeight="1" x14ac:dyDescent="0.2">
      <c r="A65" s="125"/>
      <c r="B65" s="112"/>
      <c r="C65" s="110"/>
      <c r="D65" s="72" t="s">
        <v>12</v>
      </c>
      <c r="E65" s="78">
        <f t="shared" si="25"/>
        <v>0</v>
      </c>
      <c r="F65" s="73">
        <v>0</v>
      </c>
      <c r="G65" s="73">
        <v>0</v>
      </c>
      <c r="H65" s="73">
        <v>0</v>
      </c>
      <c r="I65" s="73">
        <v>0</v>
      </c>
      <c r="J65" s="73">
        <v>0</v>
      </c>
    </row>
    <row r="66" spans="1:10" ht="15" customHeight="1" x14ac:dyDescent="0.2">
      <c r="A66" s="125"/>
      <c r="B66" s="112"/>
      <c r="C66" s="110" t="s">
        <v>29</v>
      </c>
      <c r="D66" s="69" t="s">
        <v>5</v>
      </c>
      <c r="E66" s="78">
        <f t="shared" si="25"/>
        <v>30.8</v>
      </c>
      <c r="F66" s="73">
        <f>F68+F69</f>
        <v>30.8</v>
      </c>
      <c r="G66" s="73"/>
      <c r="H66" s="73"/>
      <c r="I66" s="73"/>
      <c r="J66" s="73"/>
    </row>
    <row r="67" spans="1:10" ht="15" customHeight="1" x14ac:dyDescent="0.2">
      <c r="A67" s="125"/>
      <c r="B67" s="112"/>
      <c r="C67" s="110"/>
      <c r="D67" s="72" t="s">
        <v>7</v>
      </c>
      <c r="E67" s="78">
        <f t="shared" si="25"/>
        <v>0</v>
      </c>
      <c r="F67" s="73"/>
      <c r="G67" s="73"/>
      <c r="H67" s="73"/>
      <c r="I67" s="73"/>
      <c r="J67" s="73"/>
    </row>
    <row r="68" spans="1:10" ht="15" customHeight="1" x14ac:dyDescent="0.2">
      <c r="A68" s="125"/>
      <c r="B68" s="112"/>
      <c r="C68" s="110"/>
      <c r="D68" s="72" t="s">
        <v>8</v>
      </c>
      <c r="E68" s="78">
        <f t="shared" si="25"/>
        <v>0</v>
      </c>
      <c r="F68" s="73"/>
      <c r="G68" s="73"/>
      <c r="H68" s="73"/>
      <c r="I68" s="73"/>
      <c r="J68" s="73"/>
    </row>
    <row r="69" spans="1:10" ht="15" customHeight="1" x14ac:dyDescent="0.2">
      <c r="A69" s="125"/>
      <c r="B69" s="112"/>
      <c r="C69" s="110"/>
      <c r="D69" s="72" t="s">
        <v>9</v>
      </c>
      <c r="E69" s="78">
        <f t="shared" si="25"/>
        <v>30.8</v>
      </c>
      <c r="F69" s="73">
        <v>30.8</v>
      </c>
      <c r="G69" s="73"/>
      <c r="H69" s="73"/>
      <c r="I69" s="73"/>
      <c r="J69" s="73"/>
    </row>
    <row r="70" spans="1:10" ht="15" customHeight="1" x14ac:dyDescent="0.2">
      <c r="A70" s="125"/>
      <c r="B70" s="112"/>
      <c r="C70" s="110"/>
      <c r="D70" s="74" t="s">
        <v>10</v>
      </c>
      <c r="E70" s="78">
        <f t="shared" si="25"/>
        <v>0</v>
      </c>
      <c r="F70" s="73"/>
      <c r="G70" s="73"/>
      <c r="H70" s="73"/>
      <c r="I70" s="73"/>
      <c r="J70" s="73"/>
    </row>
    <row r="71" spans="1:10" ht="15" customHeight="1" x14ac:dyDescent="0.2">
      <c r="A71" s="125"/>
      <c r="B71" s="112"/>
      <c r="C71" s="110"/>
      <c r="D71" s="72" t="s">
        <v>11</v>
      </c>
      <c r="E71" s="78">
        <f t="shared" si="25"/>
        <v>0</v>
      </c>
      <c r="F71" s="73"/>
      <c r="G71" s="73"/>
      <c r="H71" s="73"/>
      <c r="I71" s="73"/>
      <c r="J71" s="73"/>
    </row>
    <row r="72" spans="1:10" ht="15" customHeight="1" x14ac:dyDescent="0.2">
      <c r="A72" s="125"/>
      <c r="B72" s="112"/>
      <c r="C72" s="110"/>
      <c r="D72" s="72" t="s">
        <v>12</v>
      </c>
      <c r="E72" s="78">
        <f t="shared" si="25"/>
        <v>0</v>
      </c>
      <c r="F72" s="73"/>
      <c r="G72" s="73"/>
      <c r="H72" s="73"/>
      <c r="I72" s="73"/>
      <c r="J72" s="73"/>
    </row>
    <row r="73" spans="1:10" ht="15" customHeight="1" x14ac:dyDescent="0.2">
      <c r="A73" s="125"/>
      <c r="B73" s="112"/>
      <c r="C73" s="110" t="s">
        <v>129</v>
      </c>
      <c r="D73" s="69" t="s">
        <v>5</v>
      </c>
      <c r="E73" s="78">
        <f t="shared" si="25"/>
        <v>9270.0319200000013</v>
      </c>
      <c r="F73" s="73">
        <f>F75+F76</f>
        <v>9270.0319200000013</v>
      </c>
      <c r="G73" s="73"/>
      <c r="H73" s="73"/>
      <c r="I73" s="73"/>
      <c r="J73" s="73"/>
    </row>
    <row r="74" spans="1:10" ht="15" customHeight="1" x14ac:dyDescent="0.2">
      <c r="A74" s="125"/>
      <c r="B74" s="112"/>
      <c r="C74" s="110"/>
      <c r="D74" s="72" t="s">
        <v>7</v>
      </c>
      <c r="E74" s="78">
        <f t="shared" si="25"/>
        <v>0</v>
      </c>
      <c r="F74" s="73"/>
      <c r="G74" s="73"/>
      <c r="H74" s="73"/>
      <c r="I74" s="73"/>
      <c r="J74" s="73"/>
    </row>
    <row r="75" spans="1:10" ht="15" customHeight="1" x14ac:dyDescent="0.2">
      <c r="A75" s="125"/>
      <c r="B75" s="112"/>
      <c r="C75" s="110"/>
      <c r="D75" s="72" t="s">
        <v>8</v>
      </c>
      <c r="E75" s="78">
        <f t="shared" si="25"/>
        <v>8815.9191800000008</v>
      </c>
      <c r="F75" s="73">
        <v>8815.9191800000008</v>
      </c>
      <c r="G75" s="73"/>
      <c r="H75" s="73"/>
      <c r="I75" s="73"/>
      <c r="J75" s="73"/>
    </row>
    <row r="76" spans="1:10" ht="15" customHeight="1" x14ac:dyDescent="0.2">
      <c r="A76" s="125"/>
      <c r="B76" s="112"/>
      <c r="C76" s="110"/>
      <c r="D76" s="72" t="s">
        <v>9</v>
      </c>
      <c r="E76" s="78">
        <f t="shared" si="25"/>
        <v>454.11273999999997</v>
      </c>
      <c r="F76" s="73">
        <v>454.11273999999997</v>
      </c>
      <c r="G76" s="73"/>
      <c r="H76" s="73"/>
      <c r="I76" s="73"/>
      <c r="J76" s="73"/>
    </row>
    <row r="77" spans="1:10" ht="15" customHeight="1" x14ac:dyDescent="0.2">
      <c r="A77" s="125"/>
      <c r="B77" s="112"/>
      <c r="C77" s="110"/>
      <c r="D77" s="74" t="s">
        <v>10</v>
      </c>
      <c r="E77" s="78">
        <f t="shared" si="25"/>
        <v>0</v>
      </c>
      <c r="F77" s="73"/>
      <c r="G77" s="73"/>
      <c r="H77" s="73"/>
      <c r="I77" s="73"/>
      <c r="J77" s="73"/>
    </row>
    <row r="78" spans="1:10" ht="15" customHeight="1" x14ac:dyDescent="0.2">
      <c r="A78" s="125"/>
      <c r="B78" s="112"/>
      <c r="C78" s="110"/>
      <c r="D78" s="72" t="s">
        <v>11</v>
      </c>
      <c r="E78" s="78">
        <f t="shared" si="25"/>
        <v>635.49523999999997</v>
      </c>
      <c r="F78" s="73">
        <v>635.49523999999997</v>
      </c>
      <c r="G78" s="73"/>
      <c r="H78" s="73"/>
      <c r="I78" s="73"/>
      <c r="J78" s="73"/>
    </row>
    <row r="79" spans="1:10" ht="15" customHeight="1" x14ac:dyDescent="0.2">
      <c r="A79" s="126"/>
      <c r="B79" s="113"/>
      <c r="C79" s="110"/>
      <c r="D79" s="72" t="s">
        <v>12</v>
      </c>
      <c r="E79" s="78">
        <f t="shared" si="25"/>
        <v>0</v>
      </c>
      <c r="F79" s="73"/>
      <c r="G79" s="73"/>
      <c r="H79" s="73"/>
      <c r="I79" s="73"/>
      <c r="J79" s="73"/>
    </row>
    <row r="80" spans="1:10" ht="15.75" customHeight="1" x14ac:dyDescent="0.2">
      <c r="A80" s="127" t="s">
        <v>133</v>
      </c>
      <c r="B80" s="123" t="s">
        <v>149</v>
      </c>
      <c r="C80" s="110" t="s">
        <v>170</v>
      </c>
      <c r="D80" s="69" t="s">
        <v>5</v>
      </c>
      <c r="E80" s="78">
        <f>SUM(F80:J80)</f>
        <v>1537.4159999999999</v>
      </c>
      <c r="F80" s="78">
        <f t="shared" ref="F80:J80" si="34">F81+F82+F83+F84+F86</f>
        <v>0</v>
      </c>
      <c r="G80" s="78">
        <f>G81+G82+G83+G84+G86</f>
        <v>1537.4159999999999</v>
      </c>
      <c r="H80" s="78">
        <f t="shared" ref="H80:I80" si="35">H81+H82+H83+H84+H86</f>
        <v>0</v>
      </c>
      <c r="I80" s="78">
        <f t="shared" si="35"/>
        <v>0</v>
      </c>
      <c r="J80" s="78">
        <f t="shared" si="34"/>
        <v>0</v>
      </c>
    </row>
    <row r="81" spans="1:10" x14ac:dyDescent="0.2">
      <c r="A81" s="128"/>
      <c r="B81" s="123"/>
      <c r="C81" s="110"/>
      <c r="D81" s="72" t="s">
        <v>7</v>
      </c>
      <c r="E81" s="78">
        <f t="shared" si="25"/>
        <v>0</v>
      </c>
      <c r="F81" s="73">
        <v>0</v>
      </c>
      <c r="G81" s="73">
        <v>0</v>
      </c>
      <c r="H81" s="73">
        <v>0</v>
      </c>
      <c r="I81" s="73">
        <v>0</v>
      </c>
      <c r="J81" s="73">
        <v>0</v>
      </c>
    </row>
    <row r="82" spans="1:10" x14ac:dyDescent="0.2">
      <c r="A82" s="128"/>
      <c r="B82" s="123"/>
      <c r="C82" s="110"/>
      <c r="D82" s="72" t="s">
        <v>8</v>
      </c>
      <c r="E82" s="78">
        <f t="shared" si="25"/>
        <v>0</v>
      </c>
      <c r="F82" s="73">
        <v>0</v>
      </c>
      <c r="G82" s="73">
        <v>0</v>
      </c>
      <c r="H82" s="73">
        <v>0</v>
      </c>
      <c r="I82" s="73">
        <v>0</v>
      </c>
      <c r="J82" s="73">
        <v>0</v>
      </c>
    </row>
    <row r="83" spans="1:10" x14ac:dyDescent="0.2">
      <c r="A83" s="128"/>
      <c r="B83" s="123"/>
      <c r="C83" s="110"/>
      <c r="D83" s="72" t="s">
        <v>9</v>
      </c>
      <c r="E83" s="78">
        <f>SUM(F83:J83)</f>
        <v>1537.4159999999999</v>
      </c>
      <c r="F83" s="73">
        <v>0</v>
      </c>
      <c r="G83" s="73">
        <f>1537.416</f>
        <v>1537.4159999999999</v>
      </c>
      <c r="H83" s="73">
        <v>0</v>
      </c>
      <c r="I83" s="73">
        <v>0</v>
      </c>
      <c r="J83" s="73">
        <v>0</v>
      </c>
    </row>
    <row r="84" spans="1:10" ht="24" x14ac:dyDescent="0.2">
      <c r="A84" s="128"/>
      <c r="B84" s="123"/>
      <c r="C84" s="110"/>
      <c r="D84" s="74" t="s">
        <v>10</v>
      </c>
      <c r="E84" s="78">
        <f t="shared" si="25"/>
        <v>0</v>
      </c>
      <c r="F84" s="73">
        <v>0</v>
      </c>
      <c r="G84" s="73">
        <v>0</v>
      </c>
      <c r="H84" s="73">
        <v>0</v>
      </c>
      <c r="I84" s="73">
        <v>0</v>
      </c>
      <c r="J84" s="73">
        <v>0</v>
      </c>
    </row>
    <row r="85" spans="1:10" x14ac:dyDescent="0.2">
      <c r="A85" s="128"/>
      <c r="B85" s="123"/>
      <c r="C85" s="110"/>
      <c r="D85" s="72" t="s">
        <v>11</v>
      </c>
      <c r="E85" s="78">
        <f t="shared" si="25"/>
        <v>0</v>
      </c>
      <c r="F85" s="73">
        <v>0</v>
      </c>
      <c r="G85" s="73">
        <v>0</v>
      </c>
      <c r="H85" s="73">
        <v>0</v>
      </c>
      <c r="I85" s="73">
        <v>0</v>
      </c>
      <c r="J85" s="73">
        <v>0</v>
      </c>
    </row>
    <row r="86" spans="1:10" x14ac:dyDescent="0.2">
      <c r="A86" s="128"/>
      <c r="B86" s="123"/>
      <c r="C86" s="110"/>
      <c r="D86" s="72" t="s">
        <v>12</v>
      </c>
      <c r="E86" s="78">
        <f t="shared" si="25"/>
        <v>0</v>
      </c>
      <c r="F86" s="73">
        <v>0</v>
      </c>
      <c r="G86" s="73">
        <v>0</v>
      </c>
      <c r="H86" s="73">
        <v>0</v>
      </c>
      <c r="I86" s="73">
        <v>0</v>
      </c>
      <c r="J86" s="73">
        <v>0</v>
      </c>
    </row>
    <row r="87" spans="1:10" ht="15" customHeight="1" x14ac:dyDescent="0.2">
      <c r="A87" s="124" t="s">
        <v>139</v>
      </c>
      <c r="B87" s="131" t="s">
        <v>150</v>
      </c>
      <c r="C87" s="120" t="s">
        <v>132</v>
      </c>
      <c r="D87" s="69" t="s">
        <v>5</v>
      </c>
      <c r="E87" s="78">
        <f t="shared" si="25"/>
        <v>0</v>
      </c>
      <c r="F87" s="73"/>
      <c r="G87" s="73"/>
      <c r="H87" s="73"/>
      <c r="I87" s="73"/>
      <c r="J87" s="73"/>
    </row>
    <row r="88" spans="1:10" ht="15" customHeight="1" x14ac:dyDescent="0.2">
      <c r="A88" s="125"/>
      <c r="B88" s="132"/>
      <c r="C88" s="121"/>
      <c r="D88" s="72" t="s">
        <v>7</v>
      </c>
      <c r="E88" s="78">
        <f t="shared" si="25"/>
        <v>0</v>
      </c>
      <c r="F88" s="73"/>
      <c r="G88" s="73"/>
      <c r="H88" s="73"/>
      <c r="I88" s="73"/>
      <c r="J88" s="73"/>
    </row>
    <row r="89" spans="1:10" ht="15" customHeight="1" x14ac:dyDescent="0.2">
      <c r="A89" s="125"/>
      <c r="B89" s="132"/>
      <c r="C89" s="121"/>
      <c r="D89" s="72" t="s">
        <v>8</v>
      </c>
      <c r="E89" s="78">
        <f t="shared" si="25"/>
        <v>0</v>
      </c>
      <c r="F89" s="73"/>
      <c r="G89" s="73"/>
      <c r="H89" s="73"/>
      <c r="I89" s="73"/>
      <c r="J89" s="73"/>
    </row>
    <row r="90" spans="1:10" ht="15" customHeight="1" x14ac:dyDescent="0.2">
      <c r="A90" s="125"/>
      <c r="B90" s="132"/>
      <c r="C90" s="121"/>
      <c r="D90" s="72" t="s">
        <v>9</v>
      </c>
      <c r="E90" s="78">
        <f t="shared" si="25"/>
        <v>0</v>
      </c>
      <c r="F90" s="73"/>
      <c r="G90" s="73"/>
      <c r="H90" s="73"/>
      <c r="I90" s="73"/>
      <c r="J90" s="73"/>
    </row>
    <row r="91" spans="1:10" ht="15" customHeight="1" x14ac:dyDescent="0.2">
      <c r="A91" s="125"/>
      <c r="B91" s="132"/>
      <c r="C91" s="121"/>
      <c r="D91" s="74" t="s">
        <v>10</v>
      </c>
      <c r="E91" s="78">
        <f t="shared" si="25"/>
        <v>0</v>
      </c>
      <c r="F91" s="73"/>
      <c r="G91" s="73"/>
      <c r="H91" s="73"/>
      <c r="I91" s="73"/>
      <c r="J91" s="73"/>
    </row>
    <row r="92" spans="1:10" ht="15" customHeight="1" x14ac:dyDescent="0.2">
      <c r="A92" s="125"/>
      <c r="B92" s="132"/>
      <c r="C92" s="121"/>
      <c r="D92" s="72" t="s">
        <v>11</v>
      </c>
      <c r="E92" s="78">
        <f t="shared" si="25"/>
        <v>0</v>
      </c>
      <c r="F92" s="73"/>
      <c r="G92" s="73"/>
      <c r="H92" s="73"/>
      <c r="I92" s="73"/>
      <c r="J92" s="73"/>
    </row>
    <row r="93" spans="1:10" ht="15" customHeight="1" x14ac:dyDescent="0.2">
      <c r="A93" s="126"/>
      <c r="B93" s="133"/>
      <c r="C93" s="122"/>
      <c r="D93" s="72" t="s">
        <v>12</v>
      </c>
      <c r="E93" s="78">
        <f t="shared" si="25"/>
        <v>0</v>
      </c>
      <c r="F93" s="73"/>
      <c r="G93" s="73"/>
      <c r="H93" s="73"/>
      <c r="I93" s="73"/>
      <c r="J93" s="73"/>
    </row>
    <row r="94" spans="1:10" x14ac:dyDescent="0.2">
      <c r="A94" s="127"/>
      <c r="B94" s="111"/>
      <c r="C94" s="134" t="s">
        <v>13</v>
      </c>
      <c r="D94" s="69" t="s">
        <v>5</v>
      </c>
      <c r="E94" s="78">
        <f t="shared" si="25"/>
        <v>3727859.8691200004</v>
      </c>
      <c r="F94" s="78">
        <f t="shared" ref="F94:J94" si="36">F10+F31+F52+F59+F80</f>
        <v>1371374.44771</v>
      </c>
      <c r="G94" s="78">
        <f>G10+G31+G52+G59+G80</f>
        <v>1578975.9252299999</v>
      </c>
      <c r="H94" s="78">
        <f t="shared" si="36"/>
        <v>118287.52808999999</v>
      </c>
      <c r="I94" s="78">
        <f t="shared" si="36"/>
        <v>118287.52808999999</v>
      </c>
      <c r="J94" s="78">
        <f t="shared" si="36"/>
        <v>540934.44000000006</v>
      </c>
    </row>
    <row r="95" spans="1:10" x14ac:dyDescent="0.2">
      <c r="A95" s="128"/>
      <c r="B95" s="112"/>
      <c r="C95" s="134"/>
      <c r="D95" s="69" t="s">
        <v>7</v>
      </c>
      <c r="E95" s="78">
        <f t="shared" si="25"/>
        <v>0</v>
      </c>
      <c r="F95" s="94">
        <f>F39+F46+F53+F60+F81+F18+F25</f>
        <v>0</v>
      </c>
      <c r="G95" s="94">
        <f>G39+G46+G53+G60+G81+G18+G25</f>
        <v>0</v>
      </c>
      <c r="H95" s="94">
        <f>H39+H46+H53+H60+H81+H18+H25</f>
        <v>0</v>
      </c>
      <c r="I95" s="94">
        <f>I39+I46+I53+I60+I81+I18+I25</f>
        <v>0</v>
      </c>
      <c r="J95" s="94">
        <f>J39+J46+J53+J60+J81+J18+J25</f>
        <v>0</v>
      </c>
    </row>
    <row r="96" spans="1:10" x14ac:dyDescent="0.2">
      <c r="A96" s="128"/>
      <c r="B96" s="112"/>
      <c r="C96" s="134"/>
      <c r="D96" s="69" t="s">
        <v>8</v>
      </c>
      <c r="E96" s="78">
        <f>SUM(F96:J96)</f>
        <v>3177985.4170599994</v>
      </c>
      <c r="F96" s="78">
        <f>F40+F12+F61+F47</f>
        <v>1220832.35723</v>
      </c>
      <c r="G96" s="78">
        <f>G12+G33+G54+G61+G82</f>
        <v>1395724.85983</v>
      </c>
      <c r="H96" s="78">
        <f t="shared" ref="G96:J100" si="37">H12+H33+H54+H61+H82</f>
        <v>105275.9</v>
      </c>
      <c r="I96" s="78">
        <f t="shared" si="37"/>
        <v>105275.9</v>
      </c>
      <c r="J96" s="78">
        <f t="shared" si="37"/>
        <v>350876.4</v>
      </c>
    </row>
    <row r="97" spans="1:10" x14ac:dyDescent="0.2">
      <c r="A97" s="128"/>
      <c r="B97" s="112"/>
      <c r="C97" s="134"/>
      <c r="D97" s="69" t="s">
        <v>9</v>
      </c>
      <c r="E97" s="78">
        <f>SUM(F97:J97)</f>
        <v>549874.45206000004</v>
      </c>
      <c r="F97" s="78">
        <f>F13+F34+F55+F62+F83</f>
        <v>150542.09048000001</v>
      </c>
      <c r="G97" s="78">
        <f>G13+G34+G55+G62+G83</f>
        <v>183251.06540000002</v>
      </c>
      <c r="H97" s="78">
        <f>H13+H34+H55+H62+H83</f>
        <v>13011.62809</v>
      </c>
      <c r="I97" s="78">
        <f t="shared" si="37"/>
        <v>13011.62809</v>
      </c>
      <c r="J97" s="78">
        <f t="shared" si="37"/>
        <v>190058.04</v>
      </c>
    </row>
    <row r="98" spans="1:10" ht="24" x14ac:dyDescent="0.2">
      <c r="A98" s="128"/>
      <c r="B98" s="112"/>
      <c r="C98" s="134"/>
      <c r="D98" s="95" t="s">
        <v>10</v>
      </c>
      <c r="E98" s="78">
        <f t="shared" si="25"/>
        <v>0</v>
      </c>
      <c r="F98" s="78">
        <f>F14+F35+F56+F63+F84</f>
        <v>0</v>
      </c>
      <c r="G98" s="78">
        <f t="shared" si="37"/>
        <v>0</v>
      </c>
      <c r="H98" s="78">
        <f t="shared" si="37"/>
        <v>0</v>
      </c>
      <c r="I98" s="78">
        <f t="shared" si="37"/>
        <v>0</v>
      </c>
      <c r="J98" s="78">
        <f t="shared" si="37"/>
        <v>0</v>
      </c>
    </row>
    <row r="99" spans="1:10" x14ac:dyDescent="0.2">
      <c r="A99" s="128"/>
      <c r="B99" s="112"/>
      <c r="C99" s="134"/>
      <c r="D99" s="69" t="s">
        <v>11</v>
      </c>
      <c r="E99" s="78">
        <f t="shared" si="25"/>
        <v>2793.7446899999995</v>
      </c>
      <c r="F99" s="73">
        <f>F29+F78</f>
        <v>2793.7446899999995</v>
      </c>
      <c r="G99" s="78">
        <f t="shared" si="37"/>
        <v>0</v>
      </c>
      <c r="H99" s="78">
        <f t="shared" si="37"/>
        <v>0</v>
      </c>
      <c r="I99" s="78">
        <f t="shared" si="37"/>
        <v>0</v>
      </c>
      <c r="J99" s="78">
        <f t="shared" si="37"/>
        <v>0</v>
      </c>
    </row>
    <row r="100" spans="1:10" x14ac:dyDescent="0.2">
      <c r="A100" s="128"/>
      <c r="B100" s="112"/>
      <c r="C100" s="135"/>
      <c r="D100" s="96" t="s">
        <v>12</v>
      </c>
      <c r="E100" s="78">
        <f t="shared" si="25"/>
        <v>0</v>
      </c>
      <c r="F100" s="78">
        <f>F16+F37+F58+F65+F86</f>
        <v>0</v>
      </c>
      <c r="G100" s="78">
        <f t="shared" si="37"/>
        <v>0</v>
      </c>
      <c r="H100" s="78">
        <f t="shared" si="37"/>
        <v>0</v>
      </c>
      <c r="I100" s="78">
        <f t="shared" si="37"/>
        <v>0</v>
      </c>
      <c r="J100" s="78">
        <f t="shared" si="37"/>
        <v>0</v>
      </c>
    </row>
    <row r="101" spans="1:10" ht="15.75" customHeight="1" x14ac:dyDescent="0.2">
      <c r="A101" s="136" t="s">
        <v>144</v>
      </c>
      <c r="B101" s="137"/>
      <c r="C101" s="137"/>
      <c r="D101" s="137"/>
      <c r="E101" s="137"/>
      <c r="F101" s="137"/>
      <c r="G101" s="137"/>
      <c r="H101" s="137"/>
      <c r="I101" s="137"/>
      <c r="J101" s="138"/>
    </row>
    <row r="102" spans="1:10" ht="12" customHeight="1" x14ac:dyDescent="0.2">
      <c r="A102" s="116" t="s">
        <v>45</v>
      </c>
      <c r="B102" s="123" t="s">
        <v>151</v>
      </c>
      <c r="C102" s="110" t="s">
        <v>29</v>
      </c>
      <c r="D102" s="69" t="s">
        <v>5</v>
      </c>
      <c r="E102" s="78">
        <f t="shared" ref="E102:J102" si="38">E103+E104+E105+E106+E108</f>
        <v>0</v>
      </c>
      <c r="F102" s="78">
        <f t="shared" si="38"/>
        <v>0</v>
      </c>
      <c r="G102" s="78">
        <f t="shared" si="38"/>
        <v>0</v>
      </c>
      <c r="H102" s="78">
        <f t="shared" ref="H102:I102" si="39">H103+H104+H105+H106+H108</f>
        <v>0</v>
      </c>
      <c r="I102" s="78">
        <f t="shared" si="39"/>
        <v>0</v>
      </c>
      <c r="J102" s="78">
        <f t="shared" si="38"/>
        <v>0</v>
      </c>
    </row>
    <row r="103" spans="1:10" x14ac:dyDescent="0.2">
      <c r="A103" s="117"/>
      <c r="B103" s="123"/>
      <c r="C103" s="110"/>
      <c r="D103" s="72" t="s">
        <v>7</v>
      </c>
      <c r="E103" s="78">
        <f t="shared" ref="E103:E108" si="40">SUM(G103:J103)</f>
        <v>0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</row>
    <row r="104" spans="1:10" x14ac:dyDescent="0.2">
      <c r="A104" s="117"/>
      <c r="B104" s="123"/>
      <c r="C104" s="110"/>
      <c r="D104" s="72" t="s">
        <v>8</v>
      </c>
      <c r="E104" s="78">
        <f t="shared" si="40"/>
        <v>0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</row>
    <row r="105" spans="1:10" x14ac:dyDescent="0.2">
      <c r="A105" s="117"/>
      <c r="B105" s="123"/>
      <c r="C105" s="110"/>
      <c r="D105" s="72" t="s">
        <v>9</v>
      </c>
      <c r="E105" s="78">
        <f t="shared" si="40"/>
        <v>0</v>
      </c>
      <c r="F105" s="97">
        <v>0</v>
      </c>
      <c r="G105" s="97">
        <f>780.717-780.717</f>
        <v>0</v>
      </c>
      <c r="H105" s="97">
        <v>0</v>
      </c>
      <c r="I105" s="97">
        <v>0</v>
      </c>
      <c r="J105" s="97">
        <v>0</v>
      </c>
    </row>
    <row r="106" spans="1:10" ht="24" x14ac:dyDescent="0.2">
      <c r="A106" s="117"/>
      <c r="B106" s="123"/>
      <c r="C106" s="110"/>
      <c r="D106" s="74" t="s">
        <v>10</v>
      </c>
      <c r="E106" s="78">
        <f t="shared" si="40"/>
        <v>0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</row>
    <row r="107" spans="1:10" x14ac:dyDescent="0.2">
      <c r="A107" s="117"/>
      <c r="B107" s="123"/>
      <c r="C107" s="110"/>
      <c r="D107" s="72" t="s">
        <v>11</v>
      </c>
      <c r="E107" s="78">
        <f t="shared" si="40"/>
        <v>0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</row>
    <row r="108" spans="1:10" x14ac:dyDescent="0.2">
      <c r="A108" s="117"/>
      <c r="B108" s="123"/>
      <c r="C108" s="110"/>
      <c r="D108" s="72" t="s">
        <v>12</v>
      </c>
      <c r="E108" s="78">
        <f t="shared" si="40"/>
        <v>0</v>
      </c>
      <c r="F108" s="97">
        <v>0</v>
      </c>
      <c r="G108" s="97">
        <v>0</v>
      </c>
      <c r="H108" s="97">
        <v>0</v>
      </c>
      <c r="I108" s="97">
        <v>0</v>
      </c>
      <c r="J108" s="97">
        <v>0</v>
      </c>
    </row>
    <row r="109" spans="1:10" ht="12" customHeight="1" x14ac:dyDescent="0.2">
      <c r="A109" s="116" t="s">
        <v>46</v>
      </c>
      <c r="B109" s="123" t="s">
        <v>152</v>
      </c>
      <c r="C109" s="110" t="s">
        <v>109</v>
      </c>
      <c r="D109" s="69" t="s">
        <v>5</v>
      </c>
      <c r="E109" s="78">
        <f t="shared" ref="E109:J109" si="41">E110+E111+E112+E113+E115</f>
        <v>0</v>
      </c>
      <c r="F109" s="78">
        <f t="shared" si="41"/>
        <v>0</v>
      </c>
      <c r="G109" s="78">
        <f t="shared" si="41"/>
        <v>0</v>
      </c>
      <c r="H109" s="78">
        <f t="shared" ref="H109:I109" si="42">H110+H111+H112+H113+H115</f>
        <v>0</v>
      </c>
      <c r="I109" s="78">
        <f t="shared" si="42"/>
        <v>0</v>
      </c>
      <c r="J109" s="78">
        <f t="shared" si="41"/>
        <v>0</v>
      </c>
    </row>
    <row r="110" spans="1:10" x14ac:dyDescent="0.2">
      <c r="A110" s="117"/>
      <c r="B110" s="123"/>
      <c r="C110" s="110"/>
      <c r="D110" s="72" t="s">
        <v>7</v>
      </c>
      <c r="E110" s="78">
        <f t="shared" ref="E110:E115" si="43">SUM(G110:J110)</f>
        <v>0</v>
      </c>
      <c r="F110" s="97">
        <v>0</v>
      </c>
      <c r="G110" s="97">
        <v>0</v>
      </c>
      <c r="H110" s="97">
        <v>0</v>
      </c>
      <c r="I110" s="97">
        <v>0</v>
      </c>
      <c r="J110" s="97">
        <v>0</v>
      </c>
    </row>
    <row r="111" spans="1:10" x14ac:dyDescent="0.2">
      <c r="A111" s="117"/>
      <c r="B111" s="123"/>
      <c r="C111" s="110"/>
      <c r="D111" s="72" t="s">
        <v>8</v>
      </c>
      <c r="E111" s="78">
        <f t="shared" si="43"/>
        <v>0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</row>
    <row r="112" spans="1:10" x14ac:dyDescent="0.2">
      <c r="A112" s="117"/>
      <c r="B112" s="123"/>
      <c r="C112" s="110"/>
      <c r="D112" s="72" t="s">
        <v>9</v>
      </c>
      <c r="E112" s="78">
        <f t="shared" si="43"/>
        <v>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</row>
    <row r="113" spans="1:10" ht="24" x14ac:dyDescent="0.2">
      <c r="A113" s="117"/>
      <c r="B113" s="123"/>
      <c r="C113" s="110"/>
      <c r="D113" s="74" t="s">
        <v>10</v>
      </c>
      <c r="E113" s="78">
        <f t="shared" si="43"/>
        <v>0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</row>
    <row r="114" spans="1:10" x14ac:dyDescent="0.2">
      <c r="A114" s="117"/>
      <c r="B114" s="123"/>
      <c r="C114" s="110"/>
      <c r="D114" s="72" t="s">
        <v>11</v>
      </c>
      <c r="E114" s="78">
        <f t="shared" si="43"/>
        <v>0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</row>
    <row r="115" spans="1:10" x14ac:dyDescent="0.2">
      <c r="A115" s="117"/>
      <c r="B115" s="123"/>
      <c r="C115" s="110"/>
      <c r="D115" s="72" t="s">
        <v>12</v>
      </c>
      <c r="E115" s="78">
        <f t="shared" si="43"/>
        <v>0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</row>
    <row r="116" spans="1:10" ht="15.75" customHeight="1" x14ac:dyDescent="0.2">
      <c r="A116" s="116" t="s">
        <v>47</v>
      </c>
      <c r="B116" s="123" t="s">
        <v>153</v>
      </c>
      <c r="C116" s="110" t="s">
        <v>29</v>
      </c>
      <c r="D116" s="69" t="s">
        <v>5</v>
      </c>
      <c r="E116" s="78">
        <f>E117+E118+E119+E120+E122</f>
        <v>73893.392530000012</v>
      </c>
      <c r="F116" s="78">
        <f>F117+F118+F119+F120+F122</f>
        <v>17118.461000000003</v>
      </c>
      <c r="G116" s="78">
        <f t="shared" ref="G116:J116" si="44">G117+G118+G119+G120+G122</f>
        <v>12983.33677</v>
      </c>
      <c r="H116" s="78">
        <f t="shared" ref="H116:I116" si="45">H117+H118+H119+H120+H122</f>
        <v>13945.584210000001</v>
      </c>
      <c r="I116" s="78">
        <f t="shared" si="45"/>
        <v>17867.357889999999</v>
      </c>
      <c r="J116" s="78">
        <f t="shared" si="44"/>
        <v>11978.65266</v>
      </c>
    </row>
    <row r="117" spans="1:10" x14ac:dyDescent="0.2">
      <c r="A117" s="117"/>
      <c r="B117" s="123"/>
      <c r="C117" s="110"/>
      <c r="D117" s="72" t="s">
        <v>7</v>
      </c>
      <c r="E117" s="78">
        <f>SUM(F117:J117)</f>
        <v>54047.582770000001</v>
      </c>
      <c r="F117" s="97">
        <f>12285.4+6000+86.5+4989.3-1.06649-8831.8</f>
        <v>14528.33351</v>
      </c>
      <c r="G117" s="97">
        <f>9904.9+2046.6+81.6+61-65.95074</f>
        <v>12028.14926</v>
      </c>
      <c r="H117" s="97">
        <f>10334.4+2057.3+79.8</f>
        <v>12471.5</v>
      </c>
      <c r="I117" s="97">
        <f>60.5+10572.3+4386.8</f>
        <v>15019.599999999999</v>
      </c>
      <c r="J117" s="97">
        <v>0</v>
      </c>
    </row>
    <row r="118" spans="1:10" x14ac:dyDescent="0.2">
      <c r="A118" s="117"/>
      <c r="B118" s="123"/>
      <c r="C118" s="110"/>
      <c r="D118" s="72" t="s">
        <v>8</v>
      </c>
      <c r="E118" s="78">
        <f t="shared" ref="E118:E195" si="46">SUM(F118:J118)</f>
        <v>18920.005109999998</v>
      </c>
      <c r="F118" s="97">
        <f>2.1+1208.9+1321.8-15.90056</f>
        <v>2516.8994400000001</v>
      </c>
      <c r="G118" s="98">
        <f>2.2+959.7+716.4-774.59433</f>
        <v>903.70567000000017</v>
      </c>
      <c r="H118" s="98">
        <f>1394.3+2.2</f>
        <v>1396.5</v>
      </c>
      <c r="I118" s="97">
        <f>1551.8+2.2+1208.9</f>
        <v>2762.9</v>
      </c>
      <c r="J118" s="97">
        <v>11340</v>
      </c>
    </row>
    <row r="119" spans="1:10" x14ac:dyDescent="0.2">
      <c r="A119" s="117"/>
      <c r="B119" s="123"/>
      <c r="C119" s="110"/>
      <c r="D119" s="72" t="s">
        <v>9</v>
      </c>
      <c r="E119" s="78">
        <f t="shared" si="46"/>
        <v>925.80464999999992</v>
      </c>
      <c r="F119" s="97">
        <f>106.82632-32.70527-0.893</f>
        <v>73.228049999999996</v>
      </c>
      <c r="G119" s="97">
        <f>54.80526+40.91579-44.23921</f>
        <v>51.481839999999991</v>
      </c>
      <c r="H119" s="97">
        <f>77.58421</f>
        <v>77.584209999999999</v>
      </c>
      <c r="I119" s="97">
        <f>84.85789</f>
        <v>84.857889999999998</v>
      </c>
      <c r="J119" s="97">
        <v>638.65265999999997</v>
      </c>
    </row>
    <row r="120" spans="1:10" ht="24" x14ac:dyDescent="0.2">
      <c r="A120" s="117"/>
      <c r="B120" s="123"/>
      <c r="C120" s="110"/>
      <c r="D120" s="74" t="s">
        <v>10</v>
      </c>
      <c r="E120" s="78">
        <f t="shared" si="46"/>
        <v>0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</row>
    <row r="121" spans="1:10" x14ac:dyDescent="0.2">
      <c r="A121" s="117"/>
      <c r="B121" s="123"/>
      <c r="C121" s="110"/>
      <c r="D121" s="72" t="s">
        <v>11</v>
      </c>
      <c r="E121" s="78">
        <f t="shared" si="46"/>
        <v>0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</row>
    <row r="122" spans="1:10" x14ac:dyDescent="0.2">
      <c r="A122" s="117"/>
      <c r="B122" s="123"/>
      <c r="C122" s="110"/>
      <c r="D122" s="72" t="s">
        <v>12</v>
      </c>
      <c r="E122" s="78">
        <f t="shared" si="46"/>
        <v>0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</row>
    <row r="123" spans="1:10" ht="15.75" customHeight="1" x14ac:dyDescent="0.2">
      <c r="A123" s="116" t="s">
        <v>48</v>
      </c>
      <c r="B123" s="123" t="s">
        <v>154</v>
      </c>
      <c r="C123" s="110" t="s">
        <v>29</v>
      </c>
      <c r="D123" s="69" t="s">
        <v>5</v>
      </c>
      <c r="E123" s="78">
        <f t="shared" si="46"/>
        <v>0</v>
      </c>
      <c r="F123" s="78">
        <f t="shared" ref="F123:J123" si="47">F124+F125+F126+F127+F129</f>
        <v>0</v>
      </c>
      <c r="G123" s="78">
        <f t="shared" si="47"/>
        <v>0</v>
      </c>
      <c r="H123" s="78">
        <f t="shared" ref="H123:I123" si="48">H124+H125+H126+H127+H129</f>
        <v>0</v>
      </c>
      <c r="I123" s="78">
        <f t="shared" si="48"/>
        <v>0</v>
      </c>
      <c r="J123" s="78">
        <f t="shared" si="47"/>
        <v>0</v>
      </c>
    </row>
    <row r="124" spans="1:10" x14ac:dyDescent="0.2">
      <c r="A124" s="117"/>
      <c r="B124" s="123"/>
      <c r="C124" s="110"/>
      <c r="D124" s="72" t="s">
        <v>7</v>
      </c>
      <c r="E124" s="78">
        <f t="shared" si="46"/>
        <v>0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</row>
    <row r="125" spans="1:10" x14ac:dyDescent="0.2">
      <c r="A125" s="117"/>
      <c r="B125" s="123"/>
      <c r="C125" s="110"/>
      <c r="D125" s="72" t="s">
        <v>8</v>
      </c>
      <c r="E125" s="78">
        <f t="shared" si="46"/>
        <v>0</v>
      </c>
      <c r="F125" s="97">
        <v>0</v>
      </c>
      <c r="G125" s="97">
        <v>0</v>
      </c>
      <c r="H125" s="97">
        <v>0</v>
      </c>
      <c r="I125" s="97">
        <v>0</v>
      </c>
      <c r="J125" s="97">
        <v>0</v>
      </c>
    </row>
    <row r="126" spans="1:10" x14ac:dyDescent="0.2">
      <c r="A126" s="117"/>
      <c r="B126" s="123"/>
      <c r="C126" s="110"/>
      <c r="D126" s="72" t="s">
        <v>9</v>
      </c>
      <c r="E126" s="78">
        <f t="shared" si="46"/>
        <v>0</v>
      </c>
      <c r="F126" s="97">
        <v>0</v>
      </c>
      <c r="G126" s="97">
        <v>0</v>
      </c>
      <c r="H126" s="97">
        <v>0</v>
      </c>
      <c r="I126" s="97">
        <v>0</v>
      </c>
      <c r="J126" s="97">
        <v>0</v>
      </c>
    </row>
    <row r="127" spans="1:10" ht="24" x14ac:dyDescent="0.2">
      <c r="A127" s="117"/>
      <c r="B127" s="123"/>
      <c r="C127" s="110"/>
      <c r="D127" s="74" t="s">
        <v>10</v>
      </c>
      <c r="E127" s="78">
        <f t="shared" si="46"/>
        <v>0</v>
      </c>
      <c r="F127" s="97">
        <v>0</v>
      </c>
      <c r="G127" s="97">
        <v>0</v>
      </c>
      <c r="H127" s="97">
        <v>0</v>
      </c>
      <c r="I127" s="97">
        <v>0</v>
      </c>
      <c r="J127" s="97">
        <v>0</v>
      </c>
    </row>
    <row r="128" spans="1:10" x14ac:dyDescent="0.2">
      <c r="A128" s="117"/>
      <c r="B128" s="123"/>
      <c r="C128" s="110"/>
      <c r="D128" s="72" t="s">
        <v>11</v>
      </c>
      <c r="E128" s="78">
        <f t="shared" si="46"/>
        <v>0</v>
      </c>
      <c r="F128" s="97">
        <v>0</v>
      </c>
      <c r="G128" s="97">
        <v>0</v>
      </c>
      <c r="H128" s="97">
        <v>0</v>
      </c>
      <c r="I128" s="97">
        <v>0</v>
      </c>
      <c r="J128" s="97">
        <v>0</v>
      </c>
    </row>
    <row r="129" spans="1:10" x14ac:dyDescent="0.2">
      <c r="A129" s="117"/>
      <c r="B129" s="123"/>
      <c r="C129" s="110"/>
      <c r="D129" s="72" t="s">
        <v>12</v>
      </c>
      <c r="E129" s="78">
        <f t="shared" si="46"/>
        <v>0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</row>
    <row r="130" spans="1:10" ht="15.75" customHeight="1" x14ac:dyDescent="0.2">
      <c r="A130" s="116" t="s">
        <v>49</v>
      </c>
      <c r="B130" s="123" t="s">
        <v>155</v>
      </c>
      <c r="C130" s="110" t="s">
        <v>29</v>
      </c>
      <c r="D130" s="69" t="s">
        <v>5</v>
      </c>
      <c r="E130" s="78">
        <f t="shared" si="46"/>
        <v>0</v>
      </c>
      <c r="F130" s="78">
        <f t="shared" ref="F130:J130" si="49">F131+F132+F133+F134+F136</f>
        <v>0</v>
      </c>
      <c r="G130" s="78">
        <f t="shared" si="49"/>
        <v>0</v>
      </c>
      <c r="H130" s="78">
        <f t="shared" ref="H130:I130" si="50">H131+H132+H133+H134+H136</f>
        <v>0</v>
      </c>
      <c r="I130" s="78">
        <f t="shared" si="50"/>
        <v>0</v>
      </c>
      <c r="J130" s="78">
        <f t="shared" si="49"/>
        <v>0</v>
      </c>
    </row>
    <row r="131" spans="1:10" x14ac:dyDescent="0.2">
      <c r="A131" s="117"/>
      <c r="B131" s="123"/>
      <c r="C131" s="110"/>
      <c r="D131" s="72" t="s">
        <v>7</v>
      </c>
      <c r="E131" s="78">
        <f t="shared" si="46"/>
        <v>0</v>
      </c>
      <c r="F131" s="97">
        <v>0</v>
      </c>
      <c r="G131" s="97">
        <v>0</v>
      </c>
      <c r="H131" s="97">
        <v>0</v>
      </c>
      <c r="I131" s="97">
        <v>0</v>
      </c>
      <c r="J131" s="97">
        <v>0</v>
      </c>
    </row>
    <row r="132" spans="1:10" x14ac:dyDescent="0.2">
      <c r="A132" s="117"/>
      <c r="B132" s="123"/>
      <c r="C132" s="110"/>
      <c r="D132" s="72" t="s">
        <v>8</v>
      </c>
      <c r="E132" s="78">
        <f t="shared" si="46"/>
        <v>0</v>
      </c>
      <c r="F132" s="97">
        <v>0</v>
      </c>
      <c r="G132" s="97">
        <v>0</v>
      </c>
      <c r="H132" s="97">
        <v>0</v>
      </c>
      <c r="I132" s="97">
        <v>0</v>
      </c>
      <c r="J132" s="97">
        <v>0</v>
      </c>
    </row>
    <row r="133" spans="1:10" x14ac:dyDescent="0.2">
      <c r="A133" s="117"/>
      <c r="B133" s="123"/>
      <c r="C133" s="110"/>
      <c r="D133" s="72" t="s">
        <v>9</v>
      </c>
      <c r="E133" s="78">
        <f t="shared" si="46"/>
        <v>0</v>
      </c>
      <c r="F133" s="97">
        <v>0</v>
      </c>
      <c r="G133" s="97">
        <v>0</v>
      </c>
      <c r="H133" s="97">
        <v>0</v>
      </c>
      <c r="I133" s="97">
        <v>0</v>
      </c>
      <c r="J133" s="97">
        <v>0</v>
      </c>
    </row>
    <row r="134" spans="1:10" ht="24" x14ac:dyDescent="0.2">
      <c r="A134" s="117"/>
      <c r="B134" s="123"/>
      <c r="C134" s="110"/>
      <c r="D134" s="74" t="s">
        <v>10</v>
      </c>
      <c r="E134" s="78">
        <f t="shared" si="46"/>
        <v>0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</row>
    <row r="135" spans="1:10" x14ac:dyDescent="0.2">
      <c r="A135" s="117"/>
      <c r="B135" s="123"/>
      <c r="C135" s="110"/>
      <c r="D135" s="72" t="s">
        <v>11</v>
      </c>
      <c r="E135" s="78">
        <f t="shared" si="46"/>
        <v>0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</row>
    <row r="136" spans="1:10" x14ac:dyDescent="0.2">
      <c r="A136" s="117"/>
      <c r="B136" s="123"/>
      <c r="C136" s="110"/>
      <c r="D136" s="72" t="s">
        <v>12</v>
      </c>
      <c r="E136" s="78">
        <f t="shared" si="46"/>
        <v>0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</row>
    <row r="137" spans="1:10" ht="15.75" customHeight="1" x14ac:dyDescent="0.2">
      <c r="A137" s="116" t="s">
        <v>106</v>
      </c>
      <c r="B137" s="123" t="s">
        <v>156</v>
      </c>
      <c r="C137" s="110" t="s">
        <v>29</v>
      </c>
      <c r="D137" s="69" t="s">
        <v>5</v>
      </c>
      <c r="E137" s="78">
        <f t="shared" si="46"/>
        <v>0</v>
      </c>
      <c r="F137" s="78">
        <f t="shared" ref="F137:J137" si="51">F138+F139+F140+F141+F143</f>
        <v>0</v>
      </c>
      <c r="G137" s="78">
        <f t="shared" si="51"/>
        <v>0</v>
      </c>
      <c r="H137" s="78">
        <f t="shared" ref="H137:I137" si="52">H138+H139+H140+H141+H143</f>
        <v>0</v>
      </c>
      <c r="I137" s="78">
        <f t="shared" si="52"/>
        <v>0</v>
      </c>
      <c r="J137" s="78">
        <f t="shared" si="51"/>
        <v>0</v>
      </c>
    </row>
    <row r="138" spans="1:10" x14ac:dyDescent="0.2">
      <c r="A138" s="117"/>
      <c r="B138" s="123"/>
      <c r="C138" s="110"/>
      <c r="D138" s="72" t="s">
        <v>7</v>
      </c>
      <c r="E138" s="78">
        <f t="shared" si="46"/>
        <v>0</v>
      </c>
      <c r="F138" s="97">
        <v>0</v>
      </c>
      <c r="G138" s="97">
        <v>0</v>
      </c>
      <c r="H138" s="97">
        <v>0</v>
      </c>
      <c r="I138" s="97">
        <v>0</v>
      </c>
      <c r="J138" s="97">
        <v>0</v>
      </c>
    </row>
    <row r="139" spans="1:10" x14ac:dyDescent="0.2">
      <c r="A139" s="117"/>
      <c r="B139" s="123"/>
      <c r="C139" s="110"/>
      <c r="D139" s="72" t="s">
        <v>8</v>
      </c>
      <c r="E139" s="78">
        <f t="shared" si="46"/>
        <v>0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</row>
    <row r="140" spans="1:10" x14ac:dyDescent="0.2">
      <c r="A140" s="117"/>
      <c r="B140" s="123"/>
      <c r="C140" s="110"/>
      <c r="D140" s="72" t="s">
        <v>9</v>
      </c>
      <c r="E140" s="78">
        <f t="shared" si="46"/>
        <v>0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</row>
    <row r="141" spans="1:10" ht="24" x14ac:dyDescent="0.2">
      <c r="A141" s="117"/>
      <c r="B141" s="123"/>
      <c r="C141" s="110"/>
      <c r="D141" s="74" t="s">
        <v>10</v>
      </c>
      <c r="E141" s="78">
        <f t="shared" si="46"/>
        <v>0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</row>
    <row r="142" spans="1:10" x14ac:dyDescent="0.2">
      <c r="A142" s="117"/>
      <c r="B142" s="123"/>
      <c r="C142" s="110"/>
      <c r="D142" s="72" t="s">
        <v>11</v>
      </c>
      <c r="E142" s="78">
        <f t="shared" si="46"/>
        <v>0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</row>
    <row r="143" spans="1:10" x14ac:dyDescent="0.2">
      <c r="A143" s="117"/>
      <c r="B143" s="123"/>
      <c r="C143" s="110"/>
      <c r="D143" s="72" t="s">
        <v>12</v>
      </c>
      <c r="E143" s="78">
        <f t="shared" si="46"/>
        <v>0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</row>
    <row r="144" spans="1:10" ht="15.75" customHeight="1" x14ac:dyDescent="0.2">
      <c r="A144" s="116" t="s">
        <v>107</v>
      </c>
      <c r="B144" s="123" t="s">
        <v>160</v>
      </c>
      <c r="C144" s="110" t="s">
        <v>29</v>
      </c>
      <c r="D144" s="69" t="s">
        <v>5</v>
      </c>
      <c r="E144" s="78">
        <f t="shared" si="46"/>
        <v>331265.79730000003</v>
      </c>
      <c r="F144" s="78">
        <f>F146+F145+F147</f>
        <v>185296.80629000001</v>
      </c>
      <c r="G144" s="78">
        <f t="shared" ref="G144:J144" si="53">G145+G146+G147+G148+G150</f>
        <v>49084.833709999999</v>
      </c>
      <c r="H144" s="78">
        <f t="shared" ref="H144:I144" si="54">H145+H146+H147+H148+H150</f>
        <v>41832.696629999999</v>
      </c>
      <c r="I144" s="78">
        <f t="shared" si="54"/>
        <v>55051.460669999993</v>
      </c>
      <c r="J144" s="78">
        <f t="shared" si="53"/>
        <v>0</v>
      </c>
    </row>
    <row r="145" spans="1:10" x14ac:dyDescent="0.2">
      <c r="A145" s="117"/>
      <c r="B145" s="123"/>
      <c r="C145" s="110"/>
      <c r="D145" s="72" t="s">
        <v>7</v>
      </c>
      <c r="E145" s="78">
        <f t="shared" si="46"/>
        <v>125070.04</v>
      </c>
      <c r="F145" s="97">
        <f>73429-0.16</f>
        <v>73428.84</v>
      </c>
      <c r="G145" s="97">
        <f>15775.9+4006-318.7</f>
        <v>19463.2</v>
      </c>
      <c r="H145" s="97">
        <v>16009.4</v>
      </c>
      <c r="I145" s="97">
        <v>16168.6</v>
      </c>
      <c r="J145" s="97">
        <v>0</v>
      </c>
    </row>
    <row r="146" spans="1:10" x14ac:dyDescent="0.2">
      <c r="A146" s="117"/>
      <c r="B146" s="123"/>
      <c r="C146" s="110"/>
      <c r="D146" s="72" t="s">
        <v>8</v>
      </c>
      <c r="E146" s="78">
        <f t="shared" si="46"/>
        <v>167587.09999999998</v>
      </c>
      <c r="F146" s="97">
        <v>89749.8</v>
      </c>
      <c r="G146" s="97">
        <f>19281.6+4896.3-389.5</f>
        <v>23788.399999999998</v>
      </c>
      <c r="H146" s="97">
        <v>21221.7</v>
      </c>
      <c r="I146" s="97">
        <v>32827.199999999997</v>
      </c>
      <c r="J146" s="97">
        <v>0</v>
      </c>
    </row>
    <row r="147" spans="1:10" x14ac:dyDescent="0.2">
      <c r="A147" s="117"/>
      <c r="B147" s="123"/>
      <c r="C147" s="110"/>
      <c r="D147" s="72" t="s">
        <v>9</v>
      </c>
      <c r="E147" s="78">
        <f t="shared" si="46"/>
        <v>38608.657299999999</v>
      </c>
      <c r="F147" s="97">
        <f>995.25163+19172.91466+1950</f>
        <v>22118.166289999997</v>
      </c>
      <c r="G147" s="97">
        <f>4332.94944+1100.28427+400</f>
        <v>5833.2337100000004</v>
      </c>
      <c r="H147" s="97">
        <v>4601.59663</v>
      </c>
      <c r="I147" s="97">
        <v>6055.6606700000002</v>
      </c>
      <c r="J147" s="97">
        <v>0</v>
      </c>
    </row>
    <row r="148" spans="1:10" ht="24" x14ac:dyDescent="0.2">
      <c r="A148" s="117"/>
      <c r="B148" s="123"/>
      <c r="C148" s="110"/>
      <c r="D148" s="74" t="s">
        <v>10</v>
      </c>
      <c r="E148" s="78">
        <f t="shared" si="46"/>
        <v>0</v>
      </c>
      <c r="F148" s="97">
        <v>0</v>
      </c>
      <c r="G148" s="97">
        <v>0</v>
      </c>
      <c r="H148" s="97"/>
      <c r="I148" s="97">
        <v>0</v>
      </c>
      <c r="J148" s="97">
        <v>0</v>
      </c>
    </row>
    <row r="149" spans="1:10" x14ac:dyDescent="0.2">
      <c r="A149" s="117"/>
      <c r="B149" s="123"/>
      <c r="C149" s="110"/>
      <c r="D149" s="72" t="s">
        <v>11</v>
      </c>
      <c r="E149" s="78">
        <f t="shared" si="46"/>
        <v>0</v>
      </c>
      <c r="F149" s="97">
        <v>0</v>
      </c>
      <c r="G149" s="97">
        <v>0</v>
      </c>
      <c r="H149" s="97">
        <v>0</v>
      </c>
      <c r="I149" s="97">
        <v>0</v>
      </c>
      <c r="J149" s="97">
        <v>0</v>
      </c>
    </row>
    <row r="150" spans="1:10" x14ac:dyDescent="0.2">
      <c r="A150" s="117"/>
      <c r="B150" s="123"/>
      <c r="C150" s="110"/>
      <c r="D150" s="72" t="s">
        <v>12</v>
      </c>
      <c r="E150" s="78">
        <f t="shared" si="46"/>
        <v>0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</row>
    <row r="151" spans="1:10" ht="15.75" customHeight="1" x14ac:dyDescent="0.2">
      <c r="A151" s="116" t="s">
        <v>108</v>
      </c>
      <c r="B151" s="111" t="s">
        <v>161</v>
      </c>
      <c r="C151" s="120" t="s">
        <v>130</v>
      </c>
      <c r="D151" s="69" t="s">
        <v>5</v>
      </c>
      <c r="E151" s="78">
        <f t="shared" si="46"/>
        <v>141425.59973000002</v>
      </c>
      <c r="F151" s="78">
        <f t="shared" ref="F151:J151" si="55">F152+F153+F154+F155+F157</f>
        <v>57464.99192</v>
      </c>
      <c r="G151" s="78">
        <f>G152+G153+G154+G155+G157</f>
        <v>83960.607810000001</v>
      </c>
      <c r="H151" s="78">
        <f t="shared" ref="H151:I151" si="56">H152+H153+H154+H155+H157</f>
        <v>0</v>
      </c>
      <c r="I151" s="78">
        <f t="shared" si="56"/>
        <v>0</v>
      </c>
      <c r="J151" s="78">
        <f t="shared" si="55"/>
        <v>0</v>
      </c>
    </row>
    <row r="152" spans="1:10" x14ac:dyDescent="0.2">
      <c r="A152" s="117"/>
      <c r="B152" s="112"/>
      <c r="C152" s="121"/>
      <c r="D152" s="72" t="s">
        <v>7</v>
      </c>
      <c r="E152" s="78">
        <f t="shared" si="46"/>
        <v>0</v>
      </c>
      <c r="F152" s="97">
        <v>0</v>
      </c>
      <c r="G152" s="97">
        <v>0</v>
      </c>
      <c r="H152" s="97">
        <v>0</v>
      </c>
      <c r="I152" s="97">
        <v>0</v>
      </c>
      <c r="J152" s="97">
        <v>0</v>
      </c>
    </row>
    <row r="153" spans="1:10" x14ac:dyDescent="0.2">
      <c r="A153" s="117"/>
      <c r="B153" s="112"/>
      <c r="C153" s="121"/>
      <c r="D153" s="72" t="s">
        <v>8</v>
      </c>
      <c r="E153" s="78">
        <f t="shared" si="46"/>
        <v>133552.28294</v>
      </c>
      <c r="F153" s="97">
        <f>22695-4806+29575.18957+3679.6532</f>
        <v>51143.842770000003</v>
      </c>
      <c r="G153" s="97">
        <f>G160+G167</f>
        <v>82408.440170000002</v>
      </c>
      <c r="H153" s="97"/>
      <c r="I153" s="97"/>
      <c r="J153" s="97"/>
    </row>
    <row r="154" spans="1:10" x14ac:dyDescent="0.2">
      <c r="A154" s="117"/>
      <c r="B154" s="112"/>
      <c r="C154" s="121"/>
      <c r="D154" s="72" t="s">
        <v>9</v>
      </c>
      <c r="E154" s="78">
        <f>SUM(F154:J154)</f>
        <v>7873.3167899999999</v>
      </c>
      <c r="F154" s="97">
        <f>5866.36052+454.78863</f>
        <v>6321.1491500000002</v>
      </c>
      <c r="G154" s="97">
        <f>G161</f>
        <v>1552.1676399999999</v>
      </c>
      <c r="H154" s="97">
        <v>0</v>
      </c>
      <c r="I154" s="97">
        <v>0</v>
      </c>
      <c r="J154" s="97">
        <v>0</v>
      </c>
    </row>
    <row r="155" spans="1:10" ht="24" x14ac:dyDescent="0.2">
      <c r="A155" s="117"/>
      <c r="B155" s="112"/>
      <c r="C155" s="121"/>
      <c r="D155" s="74" t="s">
        <v>10</v>
      </c>
      <c r="E155" s="78">
        <f t="shared" si="46"/>
        <v>0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</row>
    <row r="156" spans="1:10" x14ac:dyDescent="0.2">
      <c r="A156" s="117"/>
      <c r="B156" s="112"/>
      <c r="C156" s="121"/>
      <c r="D156" s="72" t="s">
        <v>11</v>
      </c>
      <c r="E156" s="78">
        <f t="shared" si="46"/>
        <v>8867.06898</v>
      </c>
      <c r="F156" s="97">
        <v>0</v>
      </c>
      <c r="G156" s="97">
        <f>G163+G170</f>
        <v>8867.06898</v>
      </c>
      <c r="H156" s="97">
        <v>0</v>
      </c>
      <c r="I156" s="97">
        <v>0</v>
      </c>
      <c r="J156" s="97">
        <v>0</v>
      </c>
    </row>
    <row r="157" spans="1:10" x14ac:dyDescent="0.2">
      <c r="A157" s="117"/>
      <c r="B157" s="112"/>
      <c r="C157" s="122"/>
      <c r="D157" s="72" t="s">
        <v>12</v>
      </c>
      <c r="E157" s="78">
        <f t="shared" si="46"/>
        <v>0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</row>
    <row r="158" spans="1:10" ht="15" x14ac:dyDescent="0.2">
      <c r="A158" s="99"/>
      <c r="B158" s="112"/>
      <c r="C158" s="110" t="s">
        <v>29</v>
      </c>
      <c r="D158" s="69" t="s">
        <v>5</v>
      </c>
      <c r="E158" s="78">
        <f>E159+E160+E161</f>
        <v>12217.958789999999</v>
      </c>
      <c r="F158" s="97"/>
      <c r="G158" s="94">
        <f>G159+G160+G161</f>
        <v>12217.958789999999</v>
      </c>
      <c r="H158" s="97"/>
      <c r="I158" s="97"/>
      <c r="J158" s="97"/>
    </row>
    <row r="159" spans="1:10" ht="15" x14ac:dyDescent="0.2">
      <c r="A159" s="99"/>
      <c r="B159" s="112"/>
      <c r="C159" s="110"/>
      <c r="D159" s="72" t="s">
        <v>7</v>
      </c>
      <c r="E159" s="78"/>
      <c r="F159" s="97"/>
      <c r="G159" s="97"/>
      <c r="H159" s="97"/>
      <c r="I159" s="97"/>
      <c r="J159" s="97"/>
    </row>
    <row r="160" spans="1:10" ht="15" x14ac:dyDescent="0.2">
      <c r="A160" s="99"/>
      <c r="B160" s="112"/>
      <c r="C160" s="110"/>
      <c r="D160" s="72" t="s">
        <v>8</v>
      </c>
      <c r="E160" s="78">
        <f>F160+G160+H160+I160+J160</f>
        <v>10665.791149999999</v>
      </c>
      <c r="F160" s="97"/>
      <c r="G160" s="97">
        <f>27590.50718-1892.6562-15032.05983</f>
        <v>10665.791149999999</v>
      </c>
      <c r="H160" s="97"/>
      <c r="I160" s="97"/>
      <c r="J160" s="97"/>
    </row>
    <row r="161" spans="1:10" ht="15" x14ac:dyDescent="0.2">
      <c r="A161" s="99"/>
      <c r="B161" s="112"/>
      <c r="C161" s="110"/>
      <c r="D161" s="72" t="s">
        <v>9</v>
      </c>
      <c r="E161" s="78">
        <f>F161+G161+H161+I161+J161</f>
        <v>1552.1676399999999</v>
      </c>
      <c r="F161" s="97"/>
      <c r="G161" s="97">
        <f>3410.06268-1857.89504</f>
        <v>1552.1676399999999</v>
      </c>
      <c r="H161" s="97"/>
      <c r="I161" s="97"/>
      <c r="J161" s="97"/>
    </row>
    <row r="162" spans="1:10" ht="24" x14ac:dyDescent="0.2">
      <c r="A162" s="99"/>
      <c r="B162" s="112"/>
      <c r="C162" s="110"/>
      <c r="D162" s="74" t="s">
        <v>10</v>
      </c>
      <c r="E162" s="78"/>
      <c r="F162" s="97"/>
      <c r="G162" s="97"/>
      <c r="H162" s="97"/>
      <c r="I162" s="97"/>
      <c r="J162" s="97"/>
    </row>
    <row r="163" spans="1:10" ht="15" x14ac:dyDescent="0.2">
      <c r="A163" s="99"/>
      <c r="B163" s="112"/>
      <c r="C163" s="110"/>
      <c r="D163" s="72" t="s">
        <v>11</v>
      </c>
      <c r="E163" s="78"/>
      <c r="F163" s="97"/>
      <c r="G163" s="97"/>
      <c r="H163" s="97"/>
      <c r="I163" s="97"/>
      <c r="J163" s="97"/>
    </row>
    <row r="164" spans="1:10" ht="15" x14ac:dyDescent="0.2">
      <c r="A164" s="99"/>
      <c r="B164" s="112"/>
      <c r="C164" s="110"/>
      <c r="D164" s="72" t="s">
        <v>12</v>
      </c>
      <c r="E164" s="78"/>
      <c r="F164" s="97"/>
      <c r="G164" s="97"/>
      <c r="H164" s="97"/>
      <c r="I164" s="97"/>
      <c r="J164" s="97"/>
    </row>
    <row r="165" spans="1:10" ht="15" x14ac:dyDescent="0.2">
      <c r="A165" s="99"/>
      <c r="B165" s="112"/>
      <c r="C165" s="110" t="s">
        <v>129</v>
      </c>
      <c r="D165" s="69" t="s">
        <v>5</v>
      </c>
      <c r="E165" s="78">
        <f>E166+E167+E168</f>
        <v>71742.649019999997</v>
      </c>
      <c r="F165" s="97"/>
      <c r="G165" s="94">
        <f>G166+G167+G168</f>
        <v>71742.649019999997</v>
      </c>
      <c r="H165" s="97"/>
      <c r="I165" s="97"/>
      <c r="J165" s="97"/>
    </row>
    <row r="166" spans="1:10" ht="15" x14ac:dyDescent="0.2">
      <c r="A166" s="99"/>
      <c r="B166" s="112"/>
      <c r="C166" s="110"/>
      <c r="D166" s="72" t="s">
        <v>7</v>
      </c>
      <c r="E166" s="78"/>
      <c r="F166" s="97"/>
      <c r="G166" s="97"/>
      <c r="H166" s="97"/>
      <c r="I166" s="97"/>
      <c r="J166" s="97"/>
    </row>
    <row r="167" spans="1:10" ht="15" x14ac:dyDescent="0.2">
      <c r="A167" s="99"/>
      <c r="B167" s="112"/>
      <c r="C167" s="110"/>
      <c r="D167" s="72" t="s">
        <v>8</v>
      </c>
      <c r="E167" s="78">
        <f>F167+G167+H167+I167+J167</f>
        <v>71742.649019999997</v>
      </c>
      <c r="F167" s="97"/>
      <c r="G167" s="97">
        <f>69849.99282+1892.6562</f>
        <v>71742.649019999997</v>
      </c>
      <c r="H167" s="97"/>
      <c r="I167" s="97"/>
      <c r="J167" s="97"/>
    </row>
    <row r="168" spans="1:10" ht="15" x14ac:dyDescent="0.2">
      <c r="A168" s="99"/>
      <c r="B168" s="112"/>
      <c r="C168" s="110"/>
      <c r="D168" s="72" t="s">
        <v>9</v>
      </c>
      <c r="E168" s="78"/>
      <c r="F168" s="97"/>
      <c r="G168" s="97"/>
      <c r="H168" s="97"/>
      <c r="I168" s="97"/>
      <c r="J168" s="97"/>
    </row>
    <row r="169" spans="1:10" ht="24" x14ac:dyDescent="0.2">
      <c r="A169" s="99"/>
      <c r="B169" s="112"/>
      <c r="C169" s="110"/>
      <c r="D169" s="74" t="s">
        <v>10</v>
      </c>
      <c r="E169" s="78"/>
      <c r="F169" s="97"/>
      <c r="G169" s="97"/>
      <c r="H169" s="97"/>
      <c r="I169" s="97"/>
      <c r="J169" s="97"/>
    </row>
    <row r="170" spans="1:10" ht="15" x14ac:dyDescent="0.2">
      <c r="A170" s="99"/>
      <c r="B170" s="112"/>
      <c r="C170" s="110"/>
      <c r="D170" s="72" t="s">
        <v>11</v>
      </c>
      <c r="E170" s="78">
        <f>F170+G170+H170+I170+J170</f>
        <v>8867.06898</v>
      </c>
      <c r="F170" s="97"/>
      <c r="G170" s="97">
        <v>8867.06898</v>
      </c>
      <c r="H170" s="97"/>
      <c r="I170" s="97"/>
      <c r="J170" s="97"/>
    </row>
    <row r="171" spans="1:10" ht="15" x14ac:dyDescent="0.2">
      <c r="A171" s="99"/>
      <c r="B171" s="113"/>
      <c r="C171" s="110"/>
      <c r="D171" s="72" t="s">
        <v>12</v>
      </c>
      <c r="E171" s="78"/>
      <c r="F171" s="97"/>
      <c r="G171" s="97"/>
      <c r="H171" s="97"/>
      <c r="I171" s="97"/>
      <c r="J171" s="97"/>
    </row>
    <row r="172" spans="1:10" x14ac:dyDescent="0.2">
      <c r="A172" s="118"/>
      <c r="B172" s="111"/>
      <c r="C172" s="134" t="s">
        <v>14</v>
      </c>
      <c r="D172" s="69" t="s">
        <v>5</v>
      </c>
      <c r="E172" s="78">
        <f t="shared" si="46"/>
        <v>546584.78956000006</v>
      </c>
      <c r="F172" s="78">
        <f t="shared" ref="F172" si="57">F173+F174+F175+F176+F178</f>
        <v>259880.25921000002</v>
      </c>
      <c r="G172" s="78">
        <f>G173+G174+G175+G176+G178</f>
        <v>146028.77829000002</v>
      </c>
      <c r="H172" s="78">
        <f t="shared" ref="H172:J172" si="58">H173+H174+H175+H176+H178</f>
        <v>55778.280840000007</v>
      </c>
      <c r="I172" s="78">
        <f>I173+I174+I175</f>
        <v>72918.818559999985</v>
      </c>
      <c r="J172" s="78">
        <f t="shared" si="58"/>
        <v>11978.65266</v>
      </c>
    </row>
    <row r="173" spans="1:10" x14ac:dyDescent="0.2">
      <c r="A173" s="119"/>
      <c r="B173" s="112"/>
      <c r="C173" s="134"/>
      <c r="D173" s="69" t="s">
        <v>7</v>
      </c>
      <c r="E173" s="78">
        <f t="shared" si="46"/>
        <v>179117.62277000002</v>
      </c>
      <c r="F173" s="94">
        <f>F145+F117</f>
        <v>87957.173509999993</v>
      </c>
      <c r="G173" s="94">
        <f>G131+G138+G145+G152+G110+G124+G103+G117</f>
        <v>31491.349260000003</v>
      </c>
      <c r="H173" s="94">
        <f>H131+H138+H145+H152+H110+H124+H103+H117</f>
        <v>28480.9</v>
      </c>
      <c r="I173" s="94">
        <f>I117+I145</f>
        <v>31188.199999999997</v>
      </c>
      <c r="J173" s="94">
        <f>J117</f>
        <v>0</v>
      </c>
    </row>
    <row r="174" spans="1:10" x14ac:dyDescent="0.2">
      <c r="A174" s="119"/>
      <c r="B174" s="112"/>
      <c r="C174" s="134"/>
      <c r="D174" s="69" t="s">
        <v>8</v>
      </c>
      <c r="E174" s="78">
        <f t="shared" si="46"/>
        <v>320059.38805000001</v>
      </c>
      <c r="F174" s="94">
        <f>F153+F146+F118</f>
        <v>143410.54221000001</v>
      </c>
      <c r="G174" s="94">
        <f>G118+G146+G153</f>
        <v>107100.54584000001</v>
      </c>
      <c r="H174" s="94">
        <f>H132+H139+H146+H153+H111+H125+H104+H118</f>
        <v>22618.2</v>
      </c>
      <c r="I174" s="94">
        <f>I118+I146</f>
        <v>35590.1</v>
      </c>
      <c r="J174" s="94">
        <f>J118</f>
        <v>11340</v>
      </c>
    </row>
    <row r="175" spans="1:10" x14ac:dyDescent="0.2">
      <c r="A175" s="119"/>
      <c r="B175" s="112"/>
      <c r="C175" s="134"/>
      <c r="D175" s="69" t="s">
        <v>9</v>
      </c>
      <c r="E175" s="78">
        <f t="shared" si="46"/>
        <v>47407.778740000002</v>
      </c>
      <c r="F175" s="94">
        <f>F154+F147+F119</f>
        <v>28512.54349</v>
      </c>
      <c r="G175" s="94">
        <f>G133+G140+G147+G154+G112+G126+G105+G119</f>
        <v>7436.8831900000005</v>
      </c>
      <c r="H175" s="94">
        <f>H133+H140+H147+H154+H112+H126+H105+H119</f>
        <v>4679.18084</v>
      </c>
      <c r="I175" s="94">
        <f>I147+I119</f>
        <v>6140.5185600000004</v>
      </c>
      <c r="J175" s="94">
        <f>J119</f>
        <v>638.65265999999997</v>
      </c>
    </row>
    <row r="176" spans="1:10" ht="24" x14ac:dyDescent="0.2">
      <c r="A176" s="119"/>
      <c r="B176" s="112"/>
      <c r="C176" s="134"/>
      <c r="D176" s="95" t="s">
        <v>10</v>
      </c>
      <c r="E176" s="78">
        <f t="shared" si="46"/>
        <v>0</v>
      </c>
      <c r="F176" s="94">
        <f>F134+F141+F148+F155+F113+F127+F106+F120</f>
        <v>0</v>
      </c>
      <c r="G176" s="94">
        <f>G134+G141+G148+G155+G113+G127+G106+G120</f>
        <v>0</v>
      </c>
      <c r="H176" s="94">
        <f>H134+H141+H148+H155+H113+H127+H106+H120</f>
        <v>0</v>
      </c>
      <c r="I176" s="94">
        <f t="shared" ref="I176:J178" si="59">I134+I141+I148+I155+I113+I127+I106+I120</f>
        <v>0</v>
      </c>
      <c r="J176" s="94">
        <f t="shared" si="59"/>
        <v>0</v>
      </c>
    </row>
    <row r="177" spans="1:11" x14ac:dyDescent="0.2">
      <c r="A177" s="119"/>
      <c r="B177" s="112"/>
      <c r="C177" s="134"/>
      <c r="D177" s="69" t="s">
        <v>11</v>
      </c>
      <c r="E177" s="78">
        <f t="shared" si="46"/>
        <v>8867.06898</v>
      </c>
      <c r="F177" s="94">
        <f>F135+F142+F149+F156+F114+F128+F107+F121</f>
        <v>0</v>
      </c>
      <c r="G177" s="94">
        <f>G135+G142+G149+G156+G114+G128+G107+G121</f>
        <v>8867.06898</v>
      </c>
      <c r="H177" s="94">
        <f>H135+H142+H149+H156+H114+H128+H107+H121</f>
        <v>0</v>
      </c>
      <c r="I177" s="94">
        <f t="shared" si="59"/>
        <v>0</v>
      </c>
      <c r="J177" s="94">
        <f t="shared" si="59"/>
        <v>0</v>
      </c>
    </row>
    <row r="178" spans="1:11" x14ac:dyDescent="0.2">
      <c r="A178" s="119"/>
      <c r="B178" s="112"/>
      <c r="C178" s="135"/>
      <c r="D178" s="96" t="s">
        <v>12</v>
      </c>
      <c r="E178" s="78">
        <f t="shared" si="46"/>
        <v>0</v>
      </c>
      <c r="F178" s="94">
        <f>F136+F143+F150+F157+F115+F129+F108+F122</f>
        <v>0</v>
      </c>
      <c r="G178" s="94">
        <f>G136+G143+G150+G157+G115+G129+G108+G122</f>
        <v>0</v>
      </c>
      <c r="H178" s="94">
        <f>H136+H143+H150+H157+H115+H129+H108+H122</f>
        <v>0</v>
      </c>
      <c r="I178" s="94">
        <f t="shared" si="59"/>
        <v>0</v>
      </c>
      <c r="J178" s="94">
        <f t="shared" si="59"/>
        <v>0</v>
      </c>
    </row>
    <row r="179" spans="1:11" ht="23.25" x14ac:dyDescent="0.35">
      <c r="A179" s="114"/>
      <c r="B179" s="143" t="s">
        <v>30</v>
      </c>
      <c r="C179" s="148"/>
      <c r="D179" s="95" t="s">
        <v>5</v>
      </c>
      <c r="E179" s="78">
        <f t="shared" si="46"/>
        <v>4274444.6586799994</v>
      </c>
      <c r="F179" s="100">
        <f>F180+F181+F182+F183</f>
        <v>1631254.70692</v>
      </c>
      <c r="G179" s="70">
        <f>G180+G181+G182+G183+G185</f>
        <v>1725004.70352</v>
      </c>
      <c r="H179" s="70">
        <f t="shared" ref="H179:I179" si="60">H180+H181+H182+H183+H185</f>
        <v>174065.80893</v>
      </c>
      <c r="I179" s="70">
        <f t="shared" si="60"/>
        <v>191206.34665000002</v>
      </c>
      <c r="J179" s="70">
        <f t="shared" ref="J179" si="61">J180+J181+J182+J183+J185</f>
        <v>552913.09266000008</v>
      </c>
      <c r="K179" s="21"/>
    </row>
    <row r="180" spans="1:11" x14ac:dyDescent="0.2">
      <c r="A180" s="115"/>
      <c r="B180" s="143"/>
      <c r="C180" s="149"/>
      <c r="D180" s="95" t="s">
        <v>7</v>
      </c>
      <c r="E180" s="78">
        <f t="shared" si="46"/>
        <v>179117.62277000002</v>
      </c>
      <c r="F180" s="70">
        <f>F95+F173</f>
        <v>87957.173509999993</v>
      </c>
      <c r="G180" s="70">
        <f>G173+G95</f>
        <v>31491.349260000003</v>
      </c>
      <c r="H180" s="70">
        <f t="shared" ref="H180:H185" si="62">+H95+H173</f>
        <v>28480.9</v>
      </c>
      <c r="I180" s="70">
        <f>I173+I95</f>
        <v>31188.199999999997</v>
      </c>
      <c r="J180" s="70">
        <f t="shared" ref="J180:J185" si="63">+J95+J173</f>
        <v>0</v>
      </c>
    </row>
    <row r="181" spans="1:11" x14ac:dyDescent="0.2">
      <c r="A181" s="115"/>
      <c r="B181" s="143"/>
      <c r="C181" s="149"/>
      <c r="D181" s="95" t="s">
        <v>8</v>
      </c>
      <c r="E181" s="78">
        <f t="shared" si="46"/>
        <v>3498044.8051100001</v>
      </c>
      <c r="F181" s="70">
        <f>F96+F174</f>
        <v>1364242.8994400001</v>
      </c>
      <c r="G181" s="70">
        <f>G174+G96</f>
        <v>1502825.40567</v>
      </c>
      <c r="H181" s="70">
        <f t="shared" si="62"/>
        <v>127894.09999999999</v>
      </c>
      <c r="I181" s="70">
        <f>I174+I96</f>
        <v>140866</v>
      </c>
      <c r="J181" s="70">
        <f t="shared" si="63"/>
        <v>362216.4</v>
      </c>
    </row>
    <row r="182" spans="1:11" x14ac:dyDescent="0.2">
      <c r="A182" s="115"/>
      <c r="B182" s="143"/>
      <c r="C182" s="149"/>
      <c r="D182" s="95" t="s">
        <v>9</v>
      </c>
      <c r="E182" s="78">
        <f t="shared" si="46"/>
        <v>597282.23080000002</v>
      </c>
      <c r="F182" s="70">
        <f>F97+F175</f>
        <v>179054.63397000002</v>
      </c>
      <c r="G182" s="70">
        <f>G175+G97</f>
        <v>190687.94859000001</v>
      </c>
      <c r="H182" s="70">
        <f t="shared" si="62"/>
        <v>17690.808929999999</v>
      </c>
      <c r="I182" s="70">
        <f>I175+I97</f>
        <v>19152.146650000002</v>
      </c>
      <c r="J182" s="70">
        <f t="shared" si="63"/>
        <v>190696.69266</v>
      </c>
    </row>
    <row r="183" spans="1:11" ht="24" x14ac:dyDescent="0.2">
      <c r="A183" s="115"/>
      <c r="B183" s="143"/>
      <c r="C183" s="149"/>
      <c r="D183" s="95" t="s">
        <v>10</v>
      </c>
      <c r="E183" s="78">
        <f t="shared" si="46"/>
        <v>0</v>
      </c>
      <c r="F183" s="70">
        <f>+F98+F176</f>
        <v>0</v>
      </c>
      <c r="G183" s="70">
        <f>+G98+G176</f>
        <v>0</v>
      </c>
      <c r="H183" s="70">
        <f t="shared" si="62"/>
        <v>0</v>
      </c>
      <c r="I183" s="70">
        <f>+I98+I176</f>
        <v>0</v>
      </c>
      <c r="J183" s="70">
        <f t="shared" si="63"/>
        <v>0</v>
      </c>
    </row>
    <row r="184" spans="1:11" x14ac:dyDescent="0.2">
      <c r="A184" s="115"/>
      <c r="B184" s="143"/>
      <c r="C184" s="149"/>
      <c r="D184" s="95" t="s">
        <v>11</v>
      </c>
      <c r="E184" s="78">
        <f t="shared" si="46"/>
        <v>11660.81367</v>
      </c>
      <c r="F184" s="70">
        <f>F29+F78</f>
        <v>2793.7446899999995</v>
      </c>
      <c r="G184" s="70">
        <f>+G99+G177</f>
        <v>8867.06898</v>
      </c>
      <c r="H184" s="70">
        <f t="shared" si="62"/>
        <v>0</v>
      </c>
      <c r="I184" s="70">
        <f>+I99+I177</f>
        <v>0</v>
      </c>
      <c r="J184" s="70">
        <f t="shared" si="63"/>
        <v>0</v>
      </c>
    </row>
    <row r="185" spans="1:11" x14ac:dyDescent="0.2">
      <c r="A185" s="115"/>
      <c r="B185" s="143"/>
      <c r="C185" s="150"/>
      <c r="D185" s="95" t="s">
        <v>12</v>
      </c>
      <c r="E185" s="78">
        <f t="shared" si="46"/>
        <v>0</v>
      </c>
      <c r="F185" s="70">
        <f>+F100+F178</f>
        <v>0</v>
      </c>
      <c r="G185" s="70">
        <f>+G100+G178</f>
        <v>0</v>
      </c>
      <c r="H185" s="70">
        <f t="shared" si="62"/>
        <v>0</v>
      </c>
      <c r="I185" s="70">
        <f>+I100+I178</f>
        <v>0</v>
      </c>
      <c r="J185" s="70">
        <f t="shared" si="63"/>
        <v>0</v>
      </c>
    </row>
    <row r="186" spans="1:11" x14ac:dyDescent="0.2">
      <c r="B186" s="72" t="s">
        <v>15</v>
      </c>
      <c r="C186" s="72"/>
      <c r="D186" s="72"/>
      <c r="E186" s="78">
        <f t="shared" si="46"/>
        <v>0</v>
      </c>
      <c r="F186" s="73"/>
      <c r="G186" s="73"/>
      <c r="H186" s="73"/>
      <c r="I186" s="73"/>
      <c r="J186" s="73"/>
    </row>
    <row r="187" spans="1:11" x14ac:dyDescent="0.2">
      <c r="B187" s="144" t="s">
        <v>31</v>
      </c>
      <c r="C187" s="151"/>
      <c r="D187" s="69" t="s">
        <v>5</v>
      </c>
      <c r="E187" s="78">
        <f t="shared" si="46"/>
        <v>17462.2</v>
      </c>
      <c r="F187" s="70">
        <f>F188+F189+F190</f>
        <v>17462.2</v>
      </c>
      <c r="G187" s="70"/>
      <c r="H187" s="70"/>
      <c r="I187" s="70"/>
      <c r="J187" s="70"/>
    </row>
    <row r="188" spans="1:11" x14ac:dyDescent="0.2">
      <c r="B188" s="144"/>
      <c r="C188" s="152"/>
      <c r="D188" s="72" t="s">
        <v>7</v>
      </c>
      <c r="E188" s="78">
        <f t="shared" si="46"/>
        <v>0</v>
      </c>
      <c r="F188" s="73"/>
      <c r="G188" s="73"/>
      <c r="H188" s="73"/>
      <c r="I188" s="73"/>
      <c r="J188" s="73"/>
    </row>
    <row r="189" spans="1:11" x14ac:dyDescent="0.2">
      <c r="B189" s="144"/>
      <c r="C189" s="152"/>
      <c r="D189" s="72" t="s">
        <v>8</v>
      </c>
      <c r="E189" s="78">
        <f t="shared" si="46"/>
        <v>17462.2</v>
      </c>
      <c r="F189" s="73">
        <v>17462.2</v>
      </c>
      <c r="G189" s="73"/>
      <c r="H189" s="73"/>
      <c r="I189" s="73"/>
      <c r="J189" s="73"/>
    </row>
    <row r="190" spans="1:11" x14ac:dyDescent="0.2">
      <c r="B190" s="144"/>
      <c r="C190" s="152"/>
      <c r="D190" s="72" t="s">
        <v>9</v>
      </c>
      <c r="E190" s="78">
        <f t="shared" si="46"/>
        <v>0</v>
      </c>
      <c r="F190" s="73"/>
      <c r="G190" s="73"/>
      <c r="H190" s="73"/>
      <c r="I190" s="73"/>
      <c r="J190" s="73"/>
    </row>
    <row r="191" spans="1:11" ht="24" x14ac:dyDescent="0.2">
      <c r="B191" s="144"/>
      <c r="C191" s="152"/>
      <c r="D191" s="74" t="s">
        <v>10</v>
      </c>
      <c r="E191" s="78">
        <f t="shared" si="46"/>
        <v>0</v>
      </c>
      <c r="F191" s="73"/>
      <c r="G191" s="73"/>
      <c r="H191" s="73"/>
      <c r="I191" s="73"/>
      <c r="J191" s="73"/>
    </row>
    <row r="192" spans="1:11" x14ac:dyDescent="0.2">
      <c r="B192" s="144"/>
      <c r="C192" s="152"/>
      <c r="D192" s="72" t="s">
        <v>11</v>
      </c>
      <c r="E192" s="78">
        <f t="shared" si="46"/>
        <v>2158.2494499999998</v>
      </c>
      <c r="F192" s="73">
        <f>F29</f>
        <v>2158.2494499999998</v>
      </c>
      <c r="G192" s="73"/>
      <c r="H192" s="73"/>
      <c r="I192" s="73"/>
      <c r="J192" s="73"/>
    </row>
    <row r="193" spans="2:10" x14ac:dyDescent="0.2">
      <c r="B193" s="144"/>
      <c r="C193" s="153"/>
      <c r="D193" s="72" t="s">
        <v>12</v>
      </c>
      <c r="E193" s="78">
        <f t="shared" si="46"/>
        <v>0</v>
      </c>
      <c r="F193" s="73"/>
      <c r="G193" s="73"/>
      <c r="H193" s="73"/>
      <c r="I193" s="73"/>
      <c r="J193" s="73"/>
    </row>
    <row r="194" spans="2:10" x14ac:dyDescent="0.2">
      <c r="B194" s="144" t="s">
        <v>16</v>
      </c>
      <c r="C194" s="151"/>
      <c r="D194" s="69" t="s">
        <v>5</v>
      </c>
      <c r="E194" s="78">
        <f t="shared" si="46"/>
        <v>4256982.4586800002</v>
      </c>
      <c r="F194" s="101">
        <f>F195+F196+F197+F198+F200</f>
        <v>1613792.5069200003</v>
      </c>
      <c r="G194" s="101">
        <f t="shared" ref="G194:J194" si="64">G195+G196+G197+G198+G200</f>
        <v>1725004.70352</v>
      </c>
      <c r="H194" s="101">
        <f t="shared" ref="H194:I194" si="65">H195+H196+H197+H198+H200</f>
        <v>174065.80893</v>
      </c>
      <c r="I194" s="101">
        <f t="shared" si="65"/>
        <v>191206.34665000002</v>
      </c>
      <c r="J194" s="101">
        <f t="shared" si="64"/>
        <v>552913.09266000008</v>
      </c>
    </row>
    <row r="195" spans="2:10" x14ac:dyDescent="0.2">
      <c r="B195" s="144"/>
      <c r="C195" s="152"/>
      <c r="D195" s="72" t="s">
        <v>7</v>
      </c>
      <c r="E195" s="78">
        <f t="shared" si="46"/>
        <v>179117.62277000002</v>
      </c>
      <c r="F195" s="73">
        <f>F173+F95</f>
        <v>87957.173509999993</v>
      </c>
      <c r="G195" s="73">
        <f>G173+G95</f>
        <v>31491.349260000003</v>
      </c>
      <c r="H195" s="73">
        <f>H173+H95</f>
        <v>28480.9</v>
      </c>
      <c r="I195" s="73">
        <f>I173+I95</f>
        <v>31188.199999999997</v>
      </c>
      <c r="J195" s="73">
        <f>J173+J95</f>
        <v>0</v>
      </c>
    </row>
    <row r="196" spans="2:10" x14ac:dyDescent="0.2">
      <c r="B196" s="144"/>
      <c r="C196" s="152"/>
      <c r="D196" s="72" t="s">
        <v>8</v>
      </c>
      <c r="E196" s="78">
        <f t="shared" ref="E196:E230" si="66">SUM(F196:J196)</f>
        <v>3480582.6051099999</v>
      </c>
      <c r="F196" s="73">
        <f>F181-17462.2</f>
        <v>1346780.6994400001</v>
      </c>
      <c r="G196" s="73">
        <f t="shared" ref="G196:J200" si="67">G174+G96</f>
        <v>1502825.40567</v>
      </c>
      <c r="H196" s="73">
        <f t="shared" si="67"/>
        <v>127894.09999999999</v>
      </c>
      <c r="I196" s="73">
        <f t="shared" si="67"/>
        <v>140866</v>
      </c>
      <c r="J196" s="73">
        <f t="shared" si="67"/>
        <v>362216.4</v>
      </c>
    </row>
    <row r="197" spans="2:10" x14ac:dyDescent="0.2">
      <c r="B197" s="144"/>
      <c r="C197" s="152"/>
      <c r="D197" s="72" t="s">
        <v>9</v>
      </c>
      <c r="E197" s="78">
        <f t="shared" si="66"/>
        <v>597282.23080000002</v>
      </c>
      <c r="F197" s="73">
        <f>F175+F97</f>
        <v>179054.63397000002</v>
      </c>
      <c r="G197" s="73">
        <f t="shared" si="67"/>
        <v>190687.94859000001</v>
      </c>
      <c r="H197" s="73">
        <f t="shared" si="67"/>
        <v>17690.808929999999</v>
      </c>
      <c r="I197" s="73">
        <f t="shared" si="67"/>
        <v>19152.146650000002</v>
      </c>
      <c r="J197" s="73">
        <f t="shared" si="67"/>
        <v>190696.69266</v>
      </c>
    </row>
    <row r="198" spans="2:10" ht="24" x14ac:dyDescent="0.2">
      <c r="B198" s="144"/>
      <c r="C198" s="152"/>
      <c r="D198" s="74" t="s">
        <v>10</v>
      </c>
      <c r="E198" s="78">
        <f t="shared" si="66"/>
        <v>0</v>
      </c>
      <c r="F198" s="73">
        <f>F176+F98</f>
        <v>0</v>
      </c>
      <c r="G198" s="73">
        <f t="shared" si="67"/>
        <v>0</v>
      </c>
      <c r="H198" s="73">
        <f t="shared" si="67"/>
        <v>0</v>
      </c>
      <c r="I198" s="73">
        <f t="shared" si="67"/>
        <v>0</v>
      </c>
      <c r="J198" s="73">
        <f t="shared" si="67"/>
        <v>0</v>
      </c>
    </row>
    <row r="199" spans="2:10" x14ac:dyDescent="0.2">
      <c r="B199" s="144"/>
      <c r="C199" s="152"/>
      <c r="D199" s="72" t="s">
        <v>11</v>
      </c>
      <c r="E199" s="78">
        <f t="shared" si="66"/>
        <v>9502.5642200000002</v>
      </c>
      <c r="F199" s="102">
        <f>F78</f>
        <v>635.49523999999997</v>
      </c>
      <c r="G199" s="73">
        <f t="shared" si="67"/>
        <v>8867.06898</v>
      </c>
      <c r="H199" s="73">
        <f t="shared" si="67"/>
        <v>0</v>
      </c>
      <c r="I199" s="73">
        <f t="shared" si="67"/>
        <v>0</v>
      </c>
      <c r="J199" s="73">
        <f t="shared" si="67"/>
        <v>0</v>
      </c>
    </row>
    <row r="200" spans="2:10" x14ac:dyDescent="0.2">
      <c r="B200" s="144"/>
      <c r="C200" s="153"/>
      <c r="D200" s="72" t="s">
        <v>12</v>
      </c>
      <c r="E200" s="78">
        <f t="shared" si="66"/>
        <v>0</v>
      </c>
      <c r="F200" s="73">
        <f>F178+F100</f>
        <v>0</v>
      </c>
      <c r="G200" s="73">
        <f t="shared" si="67"/>
        <v>0</v>
      </c>
      <c r="H200" s="73">
        <f t="shared" si="67"/>
        <v>0</v>
      </c>
      <c r="I200" s="73">
        <f t="shared" si="67"/>
        <v>0</v>
      </c>
      <c r="J200" s="73">
        <f t="shared" si="67"/>
        <v>0</v>
      </c>
    </row>
    <row r="201" spans="2:10" x14ac:dyDescent="0.2">
      <c r="B201" s="72" t="s">
        <v>15</v>
      </c>
      <c r="C201" s="72"/>
      <c r="D201" s="72"/>
      <c r="E201" s="78">
        <f t="shared" si="66"/>
        <v>0</v>
      </c>
      <c r="F201" s="73"/>
      <c r="G201" s="73"/>
      <c r="H201" s="73"/>
      <c r="I201" s="73"/>
      <c r="J201" s="73"/>
    </row>
    <row r="202" spans="2:10" x14ac:dyDescent="0.2">
      <c r="B202" s="145" t="s">
        <v>135</v>
      </c>
      <c r="C202" s="151"/>
      <c r="D202" s="69" t="s">
        <v>5</v>
      </c>
      <c r="E202" s="78">
        <f t="shared" si="66"/>
        <v>0</v>
      </c>
      <c r="F202" s="73"/>
      <c r="G202" s="73"/>
      <c r="H202" s="73"/>
      <c r="I202" s="73"/>
      <c r="J202" s="73"/>
    </row>
    <row r="203" spans="2:10" x14ac:dyDescent="0.2">
      <c r="B203" s="146"/>
      <c r="C203" s="152"/>
      <c r="D203" s="72" t="s">
        <v>7</v>
      </c>
      <c r="E203" s="78">
        <f t="shared" si="66"/>
        <v>0</v>
      </c>
      <c r="F203" s="73"/>
      <c r="G203" s="73"/>
      <c r="H203" s="73"/>
      <c r="I203" s="73"/>
      <c r="J203" s="73"/>
    </row>
    <row r="204" spans="2:10" x14ac:dyDescent="0.2">
      <c r="B204" s="146"/>
      <c r="C204" s="152"/>
      <c r="D204" s="72" t="s">
        <v>8</v>
      </c>
      <c r="E204" s="78">
        <f t="shared" si="66"/>
        <v>0</v>
      </c>
      <c r="F204" s="73"/>
      <c r="G204" s="73"/>
      <c r="H204" s="73"/>
      <c r="I204" s="73"/>
      <c r="J204" s="73"/>
    </row>
    <row r="205" spans="2:10" x14ac:dyDescent="0.2">
      <c r="B205" s="146"/>
      <c r="C205" s="152"/>
      <c r="D205" s="72" t="s">
        <v>9</v>
      </c>
      <c r="E205" s="78">
        <f t="shared" si="66"/>
        <v>0</v>
      </c>
      <c r="F205" s="73"/>
      <c r="G205" s="73"/>
      <c r="H205" s="73"/>
      <c r="I205" s="73"/>
      <c r="J205" s="73"/>
    </row>
    <row r="206" spans="2:10" ht="24" x14ac:dyDescent="0.2">
      <c r="B206" s="146"/>
      <c r="C206" s="152"/>
      <c r="D206" s="74" t="s">
        <v>10</v>
      </c>
      <c r="E206" s="78">
        <f t="shared" si="66"/>
        <v>0</v>
      </c>
      <c r="F206" s="73"/>
      <c r="G206" s="73"/>
      <c r="H206" s="73"/>
      <c r="I206" s="73"/>
      <c r="J206" s="73"/>
    </row>
    <row r="207" spans="2:10" x14ac:dyDescent="0.2">
      <c r="B207" s="146"/>
      <c r="C207" s="152"/>
      <c r="D207" s="72" t="s">
        <v>11</v>
      </c>
      <c r="E207" s="78">
        <f t="shared" si="66"/>
        <v>0</v>
      </c>
      <c r="F207" s="73"/>
      <c r="G207" s="73"/>
      <c r="H207" s="73"/>
      <c r="I207" s="73"/>
      <c r="J207" s="73"/>
    </row>
    <row r="208" spans="2:10" x14ac:dyDescent="0.2">
      <c r="B208" s="147"/>
      <c r="C208" s="153"/>
      <c r="D208" s="72" t="s">
        <v>12</v>
      </c>
      <c r="E208" s="78">
        <f t="shared" si="66"/>
        <v>0</v>
      </c>
      <c r="F208" s="73"/>
      <c r="G208" s="73"/>
      <c r="H208" s="73"/>
      <c r="I208" s="73"/>
      <c r="J208" s="73"/>
    </row>
    <row r="209" spans="2:10" x14ac:dyDescent="0.2">
      <c r="B209" s="145" t="s">
        <v>17</v>
      </c>
      <c r="C209" s="151"/>
      <c r="D209" s="69" t="s">
        <v>5</v>
      </c>
      <c r="E209" s="78">
        <f t="shared" si="66"/>
        <v>4274444.6586799994</v>
      </c>
      <c r="F209" s="70">
        <f>F210+F211+F212</f>
        <v>1631254.70692</v>
      </c>
      <c r="G209" s="70">
        <f>G210+G211+G212</f>
        <v>1725004.70352</v>
      </c>
      <c r="H209" s="70">
        <f>H210+H211+H212</f>
        <v>174065.80893</v>
      </c>
      <c r="I209" s="70">
        <f>I210+I211+I212</f>
        <v>191206.34665000002</v>
      </c>
      <c r="J209" s="70">
        <f>J210+J211+J212</f>
        <v>552913.09266000008</v>
      </c>
    </row>
    <row r="210" spans="2:10" x14ac:dyDescent="0.2">
      <c r="B210" s="146"/>
      <c r="C210" s="152"/>
      <c r="D210" s="72" t="s">
        <v>7</v>
      </c>
      <c r="E210" s="78">
        <f t="shared" si="66"/>
        <v>179117.62277000002</v>
      </c>
      <c r="F210" s="76">
        <f t="shared" ref="F210:F212" si="68">F195</f>
        <v>87957.173509999993</v>
      </c>
      <c r="G210" s="76">
        <f>G195</f>
        <v>31491.349260000003</v>
      </c>
      <c r="H210" s="76">
        <f t="shared" ref="G210:H212" si="69">H195</f>
        <v>28480.9</v>
      </c>
      <c r="I210" s="76">
        <v>31188.2</v>
      </c>
      <c r="J210" s="76">
        <f>J188+J110</f>
        <v>0</v>
      </c>
    </row>
    <row r="211" spans="2:10" x14ac:dyDescent="0.2">
      <c r="B211" s="146"/>
      <c r="C211" s="152"/>
      <c r="D211" s="72" t="s">
        <v>8</v>
      </c>
      <c r="E211" s="78">
        <f t="shared" si="66"/>
        <v>3498044.8051100001</v>
      </c>
      <c r="F211" s="76">
        <f>F196+F189</f>
        <v>1364242.8994400001</v>
      </c>
      <c r="G211" s="76">
        <f t="shared" si="69"/>
        <v>1502825.40567</v>
      </c>
      <c r="H211" s="76">
        <f t="shared" si="69"/>
        <v>127894.09999999999</v>
      </c>
      <c r="I211" s="76">
        <v>140866</v>
      </c>
      <c r="J211" s="76">
        <v>362216.4</v>
      </c>
    </row>
    <row r="212" spans="2:10" x14ac:dyDescent="0.2">
      <c r="B212" s="146"/>
      <c r="C212" s="152"/>
      <c r="D212" s="72" t="s">
        <v>9</v>
      </c>
      <c r="E212" s="78">
        <f t="shared" si="66"/>
        <v>597282.23080000002</v>
      </c>
      <c r="F212" s="76">
        <f t="shared" si="68"/>
        <v>179054.63397000002</v>
      </c>
      <c r="G212" s="76">
        <f>G197</f>
        <v>190687.94859000001</v>
      </c>
      <c r="H212" s="76">
        <f t="shared" si="69"/>
        <v>17690.808929999999</v>
      </c>
      <c r="I212" s="76">
        <f>I197</f>
        <v>19152.146650000002</v>
      </c>
      <c r="J212" s="76">
        <v>190696.69266</v>
      </c>
    </row>
    <row r="213" spans="2:10" ht="24" x14ac:dyDescent="0.2">
      <c r="B213" s="146"/>
      <c r="C213" s="152"/>
      <c r="D213" s="74" t="s">
        <v>10</v>
      </c>
      <c r="E213" s="78">
        <f t="shared" si="66"/>
        <v>0</v>
      </c>
      <c r="F213" s="73"/>
      <c r="G213" s="73"/>
      <c r="H213" s="73"/>
      <c r="I213" s="73"/>
      <c r="J213" s="73"/>
    </row>
    <row r="214" spans="2:10" x14ac:dyDescent="0.2">
      <c r="B214" s="146"/>
      <c r="C214" s="152"/>
      <c r="D214" s="72" t="s">
        <v>11</v>
      </c>
      <c r="E214" s="78">
        <f t="shared" si="66"/>
        <v>11660.81367</v>
      </c>
      <c r="F214" s="73">
        <f>F192+F199</f>
        <v>2793.7446899999995</v>
      </c>
      <c r="G214" s="73">
        <f>G199</f>
        <v>8867.06898</v>
      </c>
      <c r="H214" s="73"/>
      <c r="I214" s="73"/>
      <c r="J214" s="73"/>
    </row>
    <row r="215" spans="2:10" x14ac:dyDescent="0.2">
      <c r="B215" s="147"/>
      <c r="C215" s="153"/>
      <c r="D215" s="72" t="s">
        <v>12</v>
      </c>
      <c r="E215" s="78">
        <f t="shared" si="66"/>
        <v>0</v>
      </c>
      <c r="F215" s="73"/>
      <c r="G215" s="73"/>
      <c r="H215" s="73"/>
      <c r="I215" s="73"/>
      <c r="J215" s="73"/>
    </row>
    <row r="216" spans="2:10" x14ac:dyDescent="0.2">
      <c r="B216" s="103" t="s">
        <v>138</v>
      </c>
      <c r="C216" s="104"/>
      <c r="D216" s="72"/>
      <c r="E216" s="78">
        <f t="shared" si="66"/>
        <v>0</v>
      </c>
      <c r="F216" s="73"/>
      <c r="G216" s="73"/>
      <c r="H216" s="73"/>
      <c r="I216" s="73"/>
      <c r="J216" s="73"/>
    </row>
    <row r="217" spans="2:10" ht="12" customHeight="1" x14ac:dyDescent="0.2">
      <c r="B217" s="140" t="s">
        <v>50</v>
      </c>
      <c r="C217" s="111"/>
      <c r="D217" s="69" t="s">
        <v>5</v>
      </c>
      <c r="E217" s="78">
        <f t="shared" si="66"/>
        <v>3739894.5014800001</v>
      </c>
      <c r="F217" s="70">
        <f t="shared" ref="F217:J217" si="70">F218+F219+F220+F221+F223</f>
        <v>1439305.15747</v>
      </c>
      <c r="G217" s="70">
        <f>G218+G219+G220+G221+G223</f>
        <v>1382404.09577</v>
      </c>
      <c r="H217" s="70">
        <f t="shared" ref="H217:I217" si="71">H218+H219+H220+H221+H223</f>
        <v>174065.80893</v>
      </c>
      <c r="I217" s="70">
        <f t="shared" si="71"/>
        <v>191206.34665000002</v>
      </c>
      <c r="J217" s="70">
        <f t="shared" si="70"/>
        <v>552913.09266000008</v>
      </c>
    </row>
    <row r="218" spans="2:10" ht="12" customHeight="1" x14ac:dyDescent="0.2">
      <c r="B218" s="141"/>
      <c r="C218" s="112"/>
      <c r="D218" s="72" t="s">
        <v>7</v>
      </c>
      <c r="E218" s="78">
        <f>SUM(F218:J218)</f>
        <v>179117.62277000002</v>
      </c>
      <c r="F218" s="73">
        <f t="shared" ref="F218" si="72">F210</f>
        <v>87957.173509999993</v>
      </c>
      <c r="G218" s="73">
        <f>G18+G39+G67+G81+G81+G103+G117+G124+G131+G145</f>
        <v>31491.349260000003</v>
      </c>
      <c r="H218" s="73">
        <f t="shared" ref="H218:J220" si="73">H210</f>
        <v>28480.9</v>
      </c>
      <c r="I218" s="73">
        <f t="shared" si="73"/>
        <v>31188.2</v>
      </c>
      <c r="J218" s="73">
        <f t="shared" si="73"/>
        <v>0</v>
      </c>
    </row>
    <row r="219" spans="2:10" ht="12" customHeight="1" x14ac:dyDescent="0.2">
      <c r="B219" s="141"/>
      <c r="C219" s="112"/>
      <c r="D219" s="72" t="s">
        <v>8</v>
      </c>
      <c r="E219" s="78">
        <f t="shared" si="66"/>
        <v>3017027.1496099997</v>
      </c>
      <c r="F219" s="73">
        <f>F211-F226</f>
        <v>1190163.6813100001</v>
      </c>
      <c r="G219" s="73">
        <f>G40+G68+G82+G104+G118+G125+G132+G139+G146+G160</f>
        <v>1195886.9682999998</v>
      </c>
      <c r="H219" s="73">
        <f t="shared" si="73"/>
        <v>127894.09999999999</v>
      </c>
      <c r="I219" s="73">
        <f t="shared" si="73"/>
        <v>140866</v>
      </c>
      <c r="J219" s="73">
        <f t="shared" si="73"/>
        <v>362216.4</v>
      </c>
    </row>
    <row r="220" spans="2:10" ht="12" customHeight="1" x14ac:dyDescent="0.2">
      <c r="B220" s="141"/>
      <c r="C220" s="112"/>
      <c r="D220" s="72" t="s">
        <v>9</v>
      </c>
      <c r="E220" s="78">
        <f t="shared" si="66"/>
        <v>543749.72910000011</v>
      </c>
      <c r="F220" s="73">
        <f>F212-F227</f>
        <v>161184.30265000003</v>
      </c>
      <c r="G220" s="73">
        <f>G41+G83+G161+G20+G69+G105+G119+G126+G133+G140+G147+G168</f>
        <v>155025.77821000002</v>
      </c>
      <c r="H220" s="73">
        <f t="shared" si="73"/>
        <v>17690.808929999999</v>
      </c>
      <c r="I220" s="73">
        <f t="shared" si="73"/>
        <v>19152.146650000002</v>
      </c>
      <c r="J220" s="73">
        <f t="shared" si="73"/>
        <v>190696.69266</v>
      </c>
    </row>
    <row r="221" spans="2:10" ht="12" customHeight="1" x14ac:dyDescent="0.2">
      <c r="B221" s="141"/>
      <c r="C221" s="112"/>
      <c r="D221" s="74" t="s">
        <v>10</v>
      </c>
      <c r="E221" s="78">
        <f t="shared" si="66"/>
        <v>0</v>
      </c>
      <c r="F221" s="73">
        <f>F155+F148+F141+F134+F127+F106+F120+F42+F21</f>
        <v>0</v>
      </c>
      <c r="G221" s="73">
        <f>G155+G148+G141+G134+G127+G106+G120+G42+G21</f>
        <v>0</v>
      </c>
      <c r="H221" s="73">
        <f>H155+H148+H141+H134+H127+H106+H120+H42+H21</f>
        <v>0</v>
      </c>
      <c r="I221" s="73">
        <f>I155+I148+I141+I134+I127+I106+I120+I42+I21</f>
        <v>0</v>
      </c>
      <c r="J221" s="73">
        <f>J155+J148+J141+J134+J127+J106+J120+J42+J21</f>
        <v>0</v>
      </c>
    </row>
    <row r="222" spans="2:10" ht="12" customHeight="1" x14ac:dyDescent="0.2">
      <c r="B222" s="141"/>
      <c r="C222" s="112"/>
      <c r="D222" s="72" t="s">
        <v>11</v>
      </c>
      <c r="E222" s="78">
        <f t="shared" si="66"/>
        <v>0</v>
      </c>
      <c r="F222" s="73"/>
      <c r="G222" s="73"/>
      <c r="H222" s="73">
        <f t="shared" ref="G222:J223" si="74">H156+H149+H142+H135+H128+H107+H121+H43+H22</f>
        <v>0</v>
      </c>
      <c r="I222" s="73">
        <f t="shared" si="74"/>
        <v>0</v>
      </c>
      <c r="J222" s="73">
        <f t="shared" si="74"/>
        <v>0</v>
      </c>
    </row>
    <row r="223" spans="2:10" ht="12" customHeight="1" x14ac:dyDescent="0.2">
      <c r="B223" s="142"/>
      <c r="C223" s="113"/>
      <c r="D223" s="72" t="s">
        <v>12</v>
      </c>
      <c r="E223" s="78">
        <f t="shared" si="66"/>
        <v>0</v>
      </c>
      <c r="F223" s="73">
        <f>F157+F150+F143+F136+F129+F108+F122+F44+F23</f>
        <v>0</v>
      </c>
      <c r="G223" s="73">
        <f t="shared" si="74"/>
        <v>0</v>
      </c>
      <c r="H223" s="73">
        <f t="shared" si="74"/>
        <v>0</v>
      </c>
      <c r="I223" s="73">
        <f t="shared" si="74"/>
        <v>0</v>
      </c>
      <c r="J223" s="73">
        <f t="shared" si="74"/>
        <v>0</v>
      </c>
    </row>
    <row r="224" spans="2:10" ht="12" customHeight="1" x14ac:dyDescent="0.2">
      <c r="B224" s="123" t="s">
        <v>131</v>
      </c>
      <c r="C224" s="139"/>
      <c r="D224" s="69" t="s">
        <v>5</v>
      </c>
      <c r="E224" s="78">
        <f t="shared" si="66"/>
        <v>534550.15720000002</v>
      </c>
      <c r="F224" s="70">
        <f t="shared" ref="F224:J224" si="75">F225+F226+F227+F228+F230</f>
        <v>191949.54944999999</v>
      </c>
      <c r="G224" s="70">
        <f>G225+G226+G227+G228+G230</f>
        <v>342600.60775000008</v>
      </c>
      <c r="H224" s="70">
        <f t="shared" ref="H224:I224" si="76">H225+H226+H227+H228+H230</f>
        <v>0</v>
      </c>
      <c r="I224" s="70">
        <f t="shared" si="76"/>
        <v>0</v>
      </c>
      <c r="J224" s="70">
        <f t="shared" si="75"/>
        <v>0</v>
      </c>
    </row>
    <row r="225" spans="2:10" ht="12" customHeight="1" x14ac:dyDescent="0.2">
      <c r="B225" s="123"/>
      <c r="C225" s="139"/>
      <c r="D225" s="72" t="s">
        <v>7</v>
      </c>
      <c r="E225" s="78">
        <f t="shared" si="66"/>
        <v>0</v>
      </c>
      <c r="F225" s="73">
        <f>F110+F81+F60+F53+F46+F25</f>
        <v>0</v>
      </c>
      <c r="G225" s="73">
        <f>G110+G81+G60+G53+G46+G25</f>
        <v>0</v>
      </c>
      <c r="H225" s="73">
        <f>H110+H81+H60+H53+H46+H25</f>
        <v>0</v>
      </c>
      <c r="I225" s="73">
        <f>I110+I81+I60+I53+I46+I25</f>
        <v>0</v>
      </c>
      <c r="J225" s="73">
        <f>J110+J81+J60+J53+J46+J25</f>
        <v>0</v>
      </c>
    </row>
    <row r="226" spans="2:10" ht="12" customHeight="1" x14ac:dyDescent="0.2">
      <c r="B226" s="123"/>
      <c r="C226" s="139"/>
      <c r="D226" s="72" t="s">
        <v>8</v>
      </c>
      <c r="E226" s="78">
        <f t="shared" si="66"/>
        <v>481017.65550000005</v>
      </c>
      <c r="F226" s="73">
        <f>F26+F47+F75+F189</f>
        <v>174079.21812999999</v>
      </c>
      <c r="G226" s="73">
        <f>G111+G82+G61+G54+G47+G26+G167</f>
        <v>306938.43737000006</v>
      </c>
      <c r="H226" s="73">
        <f t="shared" ref="G226:J230" si="77">H111+H82+H61+H54+H47+H26</f>
        <v>0</v>
      </c>
      <c r="I226" s="73">
        <f t="shared" si="77"/>
        <v>0</v>
      </c>
      <c r="J226" s="73">
        <f t="shared" si="77"/>
        <v>0</v>
      </c>
    </row>
    <row r="227" spans="2:10" ht="12" customHeight="1" x14ac:dyDescent="0.2">
      <c r="B227" s="123"/>
      <c r="C227" s="139"/>
      <c r="D227" s="72" t="s">
        <v>9</v>
      </c>
      <c r="E227" s="78">
        <f t="shared" si="66"/>
        <v>53532.501700000008</v>
      </c>
      <c r="F227" s="73">
        <f>F48+F76</f>
        <v>17870.331320000001</v>
      </c>
      <c r="G227" s="73">
        <f>G48+G76</f>
        <v>35662.170380000003</v>
      </c>
      <c r="H227" s="73">
        <f t="shared" si="77"/>
        <v>0</v>
      </c>
      <c r="I227" s="73">
        <f t="shared" si="77"/>
        <v>0</v>
      </c>
      <c r="J227" s="73">
        <f t="shared" si="77"/>
        <v>0</v>
      </c>
    </row>
    <row r="228" spans="2:10" ht="12" customHeight="1" x14ac:dyDescent="0.2">
      <c r="B228" s="123"/>
      <c r="C228" s="139"/>
      <c r="D228" s="74" t="s">
        <v>10</v>
      </c>
      <c r="E228" s="78">
        <f t="shared" si="66"/>
        <v>0</v>
      </c>
      <c r="F228" s="73">
        <f>F113+F84+F63+F56+F49+F28</f>
        <v>0</v>
      </c>
      <c r="G228" s="73">
        <f t="shared" si="77"/>
        <v>0</v>
      </c>
      <c r="H228" s="73">
        <f t="shared" si="77"/>
        <v>0</v>
      </c>
      <c r="I228" s="73">
        <f t="shared" si="77"/>
        <v>0</v>
      </c>
      <c r="J228" s="73">
        <f t="shared" si="77"/>
        <v>0</v>
      </c>
    </row>
    <row r="229" spans="2:10" ht="12" customHeight="1" x14ac:dyDescent="0.2">
      <c r="B229" s="123"/>
      <c r="C229" s="139"/>
      <c r="D229" s="72" t="s">
        <v>11</v>
      </c>
      <c r="E229" s="78">
        <f t="shared" si="66"/>
        <v>11660.81367</v>
      </c>
      <c r="F229" s="73">
        <f>F192+F199</f>
        <v>2793.7446899999995</v>
      </c>
      <c r="G229" s="73">
        <f>G214</f>
        <v>8867.06898</v>
      </c>
      <c r="H229" s="73">
        <f t="shared" si="77"/>
        <v>0</v>
      </c>
      <c r="I229" s="73">
        <f t="shared" si="77"/>
        <v>0</v>
      </c>
      <c r="J229" s="73">
        <f t="shared" si="77"/>
        <v>0</v>
      </c>
    </row>
    <row r="230" spans="2:10" ht="12" customHeight="1" x14ac:dyDescent="0.2">
      <c r="B230" s="123"/>
      <c r="C230" s="139"/>
      <c r="D230" s="72" t="s">
        <v>12</v>
      </c>
      <c r="E230" s="78">
        <f t="shared" si="66"/>
        <v>0</v>
      </c>
      <c r="F230" s="73">
        <f>F115+F86+F65+F58+F51+F30</f>
        <v>0</v>
      </c>
      <c r="G230" s="73">
        <f t="shared" si="77"/>
        <v>0</v>
      </c>
      <c r="H230" s="73">
        <f t="shared" si="77"/>
        <v>0</v>
      </c>
      <c r="I230" s="73">
        <f t="shared" si="77"/>
        <v>0</v>
      </c>
      <c r="J230" s="73">
        <f t="shared" si="77"/>
        <v>0</v>
      </c>
    </row>
    <row r="232" spans="2:10" x14ac:dyDescent="0.2">
      <c r="E232" s="105"/>
      <c r="F232" s="106"/>
      <c r="G232" s="105"/>
      <c r="H232" s="105"/>
      <c r="I232" s="105"/>
      <c r="J232" s="105"/>
    </row>
    <row r="233" spans="2:10" x14ac:dyDescent="0.2">
      <c r="E233" s="107"/>
      <c r="G233" s="107"/>
      <c r="H233" s="107"/>
      <c r="I233" s="107"/>
      <c r="J233" s="107"/>
    </row>
    <row r="234" spans="2:10" x14ac:dyDescent="0.2">
      <c r="E234" s="105"/>
      <c r="F234" s="106"/>
      <c r="G234" s="105"/>
      <c r="H234" s="105"/>
      <c r="I234" s="105"/>
      <c r="J234" s="105"/>
    </row>
    <row r="235" spans="2:10" x14ac:dyDescent="0.2">
      <c r="E235" s="108"/>
      <c r="F235" s="109"/>
      <c r="G235" s="108"/>
      <c r="H235" s="108"/>
      <c r="I235" s="108"/>
      <c r="J235" s="108"/>
    </row>
    <row r="236" spans="2:10" x14ac:dyDescent="0.2">
      <c r="E236" s="105"/>
      <c r="F236" s="106"/>
      <c r="G236" s="105"/>
      <c r="H236" s="105"/>
      <c r="I236" s="105"/>
      <c r="J236" s="105"/>
    </row>
  </sheetData>
  <mergeCells count="81">
    <mergeCell ref="C38:C44"/>
    <mergeCell ref="C45:C51"/>
    <mergeCell ref="C17:C23"/>
    <mergeCell ref="B31:B51"/>
    <mergeCell ref="B10:B30"/>
    <mergeCell ref="C10:C16"/>
    <mergeCell ref="C31:C37"/>
    <mergeCell ref="C24:C30"/>
    <mergeCell ref="A3:J3"/>
    <mergeCell ref="E5:J5"/>
    <mergeCell ref="G6:J6"/>
    <mergeCell ref="A9:J9"/>
    <mergeCell ref="E6:E7"/>
    <mergeCell ref="D5:D7"/>
    <mergeCell ref="C5:C7"/>
    <mergeCell ref="B5:B7"/>
    <mergeCell ref="A5:A7"/>
    <mergeCell ref="C224:C230"/>
    <mergeCell ref="B224:B230"/>
    <mergeCell ref="B217:B223"/>
    <mergeCell ref="C172:C178"/>
    <mergeCell ref="C217:C223"/>
    <mergeCell ref="B179:B185"/>
    <mergeCell ref="B187:B193"/>
    <mergeCell ref="B194:B200"/>
    <mergeCell ref="B202:B208"/>
    <mergeCell ref="B209:B215"/>
    <mergeCell ref="C179:C185"/>
    <mergeCell ref="C187:C193"/>
    <mergeCell ref="C194:C200"/>
    <mergeCell ref="C202:C208"/>
    <mergeCell ref="C209:C215"/>
    <mergeCell ref="C52:C58"/>
    <mergeCell ref="C94:C100"/>
    <mergeCell ref="A101:J101"/>
    <mergeCell ref="A94:A100"/>
    <mergeCell ref="C59:C65"/>
    <mergeCell ref="C80:C86"/>
    <mergeCell ref="C87:C93"/>
    <mergeCell ref="A59:A79"/>
    <mergeCell ref="B59:B79"/>
    <mergeCell ref="C66:C72"/>
    <mergeCell ref="C73:C79"/>
    <mergeCell ref="C102:C108"/>
    <mergeCell ref="B109:B115"/>
    <mergeCell ref="C109:C115"/>
    <mergeCell ref="C123:C129"/>
    <mergeCell ref="B116:B122"/>
    <mergeCell ref="C116:C122"/>
    <mergeCell ref="A10:A30"/>
    <mergeCell ref="B94:B100"/>
    <mergeCell ref="A102:A108"/>
    <mergeCell ref="A109:A115"/>
    <mergeCell ref="A52:A58"/>
    <mergeCell ref="A31:A51"/>
    <mergeCell ref="B80:B86"/>
    <mergeCell ref="B52:B58"/>
    <mergeCell ref="A80:A86"/>
    <mergeCell ref="A87:A93"/>
    <mergeCell ref="B87:B93"/>
    <mergeCell ref="A116:A122"/>
    <mergeCell ref="A123:A129"/>
    <mergeCell ref="B123:B129"/>
    <mergeCell ref="B102:B108"/>
    <mergeCell ref="B137:B143"/>
    <mergeCell ref="C137:C143"/>
    <mergeCell ref="B151:B171"/>
    <mergeCell ref="C130:C136"/>
    <mergeCell ref="A179:A185"/>
    <mergeCell ref="A151:A157"/>
    <mergeCell ref="A172:A178"/>
    <mergeCell ref="A144:A150"/>
    <mergeCell ref="C158:C164"/>
    <mergeCell ref="C165:C171"/>
    <mergeCell ref="C151:C157"/>
    <mergeCell ref="C144:C150"/>
    <mergeCell ref="B172:B178"/>
    <mergeCell ref="A137:A143"/>
    <mergeCell ref="A130:A136"/>
    <mergeCell ref="B130:B136"/>
    <mergeCell ref="B144:B150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  <colBreaks count="1" manualBreakCount="1">
    <brk id="10" max="259" man="1"/>
  </colBreaks>
  <ignoredErrors>
    <ignoredError sqref="G17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2"/>
  <sheetViews>
    <sheetView view="pageBreakPreview" topLeftCell="A4" zoomScale="70" zoomScaleNormal="70" zoomScaleSheetLayoutView="70" workbookViewId="0">
      <selection activeCell="D27" sqref="D27"/>
    </sheetView>
  </sheetViews>
  <sheetFormatPr defaultColWidth="9.140625" defaultRowHeight="12.75" x14ac:dyDescent="0.2"/>
  <cols>
    <col min="1" max="1" width="10" style="6" customWidth="1"/>
    <col min="2" max="2" width="61.85546875" style="6" customWidth="1"/>
    <col min="3" max="3" width="60" style="6" customWidth="1"/>
    <col min="4" max="4" width="41.85546875" style="6" customWidth="1"/>
    <col min="5" max="16384" width="9.140625" style="6"/>
  </cols>
  <sheetData>
    <row r="1" spans="1:4" x14ac:dyDescent="0.2">
      <c r="D1" s="17" t="s">
        <v>42</v>
      </c>
    </row>
    <row r="3" spans="1:4" ht="15" x14ac:dyDescent="0.2">
      <c r="A3" s="165" t="s">
        <v>18</v>
      </c>
      <c r="B3" s="166"/>
      <c r="C3" s="166"/>
      <c r="D3" s="166"/>
    </row>
    <row r="5" spans="1:4" s="8" customFormat="1" ht="89.25" x14ac:dyDescent="0.25">
      <c r="A5" s="7" t="s">
        <v>1</v>
      </c>
      <c r="B5" s="7" t="s">
        <v>19</v>
      </c>
      <c r="C5" s="7" t="s">
        <v>20</v>
      </c>
      <c r="D5" s="7" t="s">
        <v>141</v>
      </c>
    </row>
    <row r="6" spans="1:4" x14ac:dyDescent="0.2">
      <c r="A6" s="9">
        <v>1</v>
      </c>
      <c r="B6" s="9">
        <v>2</v>
      </c>
      <c r="C6" s="9">
        <v>3</v>
      </c>
      <c r="D6" s="9">
        <v>4</v>
      </c>
    </row>
    <row r="7" spans="1:4" ht="12.75" customHeight="1" x14ac:dyDescent="0.2">
      <c r="A7" s="167" t="s">
        <v>32</v>
      </c>
      <c r="B7" s="168"/>
      <c r="C7" s="168"/>
      <c r="D7" s="169"/>
    </row>
    <row r="8" spans="1:4" s="12" customFormat="1" ht="15.75" customHeight="1" x14ac:dyDescent="0.25">
      <c r="A8" s="167" t="s">
        <v>75</v>
      </c>
      <c r="B8" s="168"/>
      <c r="C8" s="168"/>
      <c r="D8" s="169"/>
    </row>
    <row r="9" spans="1:4" x14ac:dyDescent="0.2">
      <c r="A9" s="170" t="s">
        <v>79</v>
      </c>
      <c r="B9" s="170"/>
      <c r="C9" s="170"/>
      <c r="D9" s="170"/>
    </row>
    <row r="10" spans="1:4" s="12" customFormat="1" x14ac:dyDescent="0.25">
      <c r="A10" s="164" t="s">
        <v>77</v>
      </c>
      <c r="B10" s="164"/>
      <c r="C10" s="164"/>
      <c r="D10" s="164"/>
    </row>
    <row r="11" spans="1:4" ht="85.5" customHeight="1" x14ac:dyDescent="0.2">
      <c r="A11" s="22" t="s">
        <v>43</v>
      </c>
      <c r="B11" s="1" t="s">
        <v>134</v>
      </c>
      <c r="C11" s="1" t="s">
        <v>33</v>
      </c>
      <c r="D11" s="18" t="s">
        <v>159</v>
      </c>
    </row>
    <row r="12" spans="1:4" ht="89.25" x14ac:dyDescent="0.2">
      <c r="A12" s="22" t="s">
        <v>44</v>
      </c>
      <c r="B12" s="1" t="s">
        <v>110</v>
      </c>
      <c r="C12" s="1" t="s">
        <v>33</v>
      </c>
      <c r="D12" s="11"/>
    </row>
    <row r="13" spans="1:4" ht="51" x14ac:dyDescent="0.2">
      <c r="A13" s="22" t="s">
        <v>80</v>
      </c>
      <c r="B13" s="1" t="s">
        <v>111</v>
      </c>
      <c r="C13" s="1" t="s">
        <v>34</v>
      </c>
      <c r="D13" s="11"/>
    </row>
    <row r="14" spans="1:4" ht="63.75" x14ac:dyDescent="0.2">
      <c r="A14" s="22" t="s">
        <v>81</v>
      </c>
      <c r="B14" s="1" t="s">
        <v>112</v>
      </c>
      <c r="C14" s="1" t="s">
        <v>35</v>
      </c>
      <c r="D14" s="11"/>
    </row>
    <row r="15" spans="1:4" ht="38.25" x14ac:dyDescent="0.2">
      <c r="A15" s="22" t="s">
        <v>133</v>
      </c>
      <c r="B15" s="1" t="s">
        <v>113</v>
      </c>
      <c r="C15" s="1" t="s">
        <v>36</v>
      </c>
      <c r="D15" s="11"/>
    </row>
    <row r="16" spans="1:4" ht="89.25" x14ac:dyDescent="0.2">
      <c r="A16" s="22" t="s">
        <v>139</v>
      </c>
      <c r="B16" s="1" t="s">
        <v>140</v>
      </c>
      <c r="C16" s="75" t="s">
        <v>37</v>
      </c>
      <c r="D16" s="75" t="s">
        <v>158</v>
      </c>
    </row>
    <row r="17" spans="1:4" x14ac:dyDescent="0.2">
      <c r="A17" s="164" t="s">
        <v>76</v>
      </c>
      <c r="B17" s="164"/>
      <c r="C17" s="164"/>
      <c r="D17" s="164"/>
    </row>
    <row r="18" spans="1:4" x14ac:dyDescent="0.2">
      <c r="A18" s="164" t="s">
        <v>78</v>
      </c>
      <c r="B18" s="164"/>
      <c r="C18" s="164"/>
      <c r="D18" s="164"/>
    </row>
    <row r="19" spans="1:4" ht="38.25" x14ac:dyDescent="0.2">
      <c r="A19" s="10" t="s">
        <v>82</v>
      </c>
      <c r="B19" s="1" t="s">
        <v>119</v>
      </c>
      <c r="C19" s="13" t="s">
        <v>37</v>
      </c>
      <c r="D19" s="11"/>
    </row>
    <row r="20" spans="1:4" ht="25.5" x14ac:dyDescent="0.2">
      <c r="A20" s="10" t="s">
        <v>83</v>
      </c>
      <c r="B20" s="1" t="s">
        <v>118</v>
      </c>
      <c r="C20" s="13" t="s">
        <v>38</v>
      </c>
      <c r="D20" s="11"/>
    </row>
    <row r="21" spans="1:4" ht="38.25" x14ac:dyDescent="0.2">
      <c r="A21" s="10" t="s">
        <v>84</v>
      </c>
      <c r="B21" s="1" t="s">
        <v>117</v>
      </c>
      <c r="C21" s="13" t="s">
        <v>37</v>
      </c>
      <c r="D21" s="11"/>
    </row>
    <row r="22" spans="1:4" ht="51" x14ac:dyDescent="0.2">
      <c r="A22" s="10" t="s">
        <v>85</v>
      </c>
      <c r="B22" s="1" t="s">
        <v>116</v>
      </c>
      <c r="C22" s="13" t="s">
        <v>37</v>
      </c>
      <c r="D22" s="11"/>
    </row>
    <row r="23" spans="1:4" ht="76.5" x14ac:dyDescent="0.2">
      <c r="A23" s="10" t="s">
        <v>86</v>
      </c>
      <c r="B23" s="1" t="s">
        <v>114</v>
      </c>
      <c r="C23" s="13" t="s">
        <v>39</v>
      </c>
      <c r="D23" s="18" t="s">
        <v>157</v>
      </c>
    </row>
    <row r="24" spans="1:4" ht="75.75" customHeight="1" x14ac:dyDescent="0.2">
      <c r="A24" s="10" t="s">
        <v>87</v>
      </c>
      <c r="B24" s="1" t="s">
        <v>115</v>
      </c>
      <c r="C24" s="13" t="s">
        <v>37</v>
      </c>
      <c r="D24" s="16"/>
    </row>
    <row r="25" spans="1:4" ht="89.25" customHeight="1" x14ac:dyDescent="0.2">
      <c r="A25" s="171" t="s">
        <v>88</v>
      </c>
      <c r="B25" s="162" t="s">
        <v>142</v>
      </c>
      <c r="C25" s="162" t="s">
        <v>136</v>
      </c>
      <c r="D25" s="162" t="s">
        <v>164</v>
      </c>
    </row>
    <row r="26" spans="1:4" ht="63" customHeight="1" x14ac:dyDescent="0.2">
      <c r="A26" s="172"/>
      <c r="B26" s="163"/>
      <c r="C26" s="163"/>
      <c r="D26" s="163"/>
    </row>
    <row r="27" spans="1:4" ht="138" customHeight="1" x14ac:dyDescent="0.2">
      <c r="A27" s="10" t="s">
        <v>89</v>
      </c>
      <c r="B27" s="1" t="s">
        <v>162</v>
      </c>
      <c r="C27" s="13" t="s">
        <v>37</v>
      </c>
      <c r="D27" s="18" t="s">
        <v>163</v>
      </c>
    </row>
    <row r="28" spans="1:4" s="14" customFormat="1" ht="12.75" customHeight="1" x14ac:dyDescent="0.2">
      <c r="B28" s="15"/>
      <c r="C28" s="15"/>
    </row>
    <row r="29" spans="1:4" s="14" customFormat="1" ht="12.75" customHeight="1" x14ac:dyDescent="0.2">
      <c r="B29" s="15"/>
      <c r="C29" s="15"/>
    </row>
    <row r="30" spans="1:4" s="14" customFormat="1" ht="12.75" customHeight="1" x14ac:dyDescent="0.2">
      <c r="B30" s="15"/>
      <c r="C30" s="15"/>
    </row>
    <row r="31" spans="1:4" s="14" customFormat="1" ht="12.75" customHeight="1" x14ac:dyDescent="0.2">
      <c r="B31" s="15"/>
      <c r="C31" s="15"/>
    </row>
    <row r="32" spans="1:4" s="14" customFormat="1" ht="12.75" customHeight="1" x14ac:dyDescent="0.2"/>
  </sheetData>
  <mergeCells count="11">
    <mergeCell ref="C25:C26"/>
    <mergeCell ref="D25:D26"/>
    <mergeCell ref="A17:D17"/>
    <mergeCell ref="A18:D18"/>
    <mergeCell ref="A3:D3"/>
    <mergeCell ref="A10:D10"/>
    <mergeCell ref="A7:D7"/>
    <mergeCell ref="A9:D9"/>
    <mergeCell ref="A8:D8"/>
    <mergeCell ref="A25:A26"/>
    <mergeCell ref="B25:B26"/>
  </mergeCells>
  <pageMargins left="0.7" right="0.7" top="0.75" bottom="0.75" header="0.3" footer="0.3"/>
  <pageSetup paperSize="9" scale="50" orientation="portrait" r:id="rId1"/>
  <colBreaks count="1" manualBreakCount="1">
    <brk id="4" max="2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5"/>
  <sheetViews>
    <sheetView zoomScale="80" zoomScaleNormal="80" workbookViewId="0">
      <selection activeCell="J7" sqref="J7"/>
    </sheetView>
  </sheetViews>
  <sheetFormatPr defaultColWidth="9.140625" defaultRowHeight="15.75" x14ac:dyDescent="0.25"/>
  <cols>
    <col min="1" max="1" width="4" style="44" customWidth="1"/>
    <col min="2" max="2" width="37.7109375" style="44" customWidth="1"/>
    <col min="3" max="3" width="19.28515625" style="44" customWidth="1"/>
    <col min="4" max="4" width="14.28515625" style="44" customWidth="1"/>
    <col min="5" max="6" width="18" style="44" customWidth="1"/>
    <col min="7" max="7" width="32.140625" style="44" customWidth="1"/>
    <col min="8" max="8" width="18.42578125" style="58" customWidth="1"/>
    <col min="9" max="9" width="20.140625" style="57" customWidth="1"/>
    <col min="10" max="10" width="16.85546875" style="57" customWidth="1"/>
    <col min="11" max="11" width="13.140625" style="44" customWidth="1"/>
    <col min="12" max="12" width="43.85546875" style="44" customWidth="1"/>
    <col min="13" max="16384" width="9.140625" style="44"/>
  </cols>
  <sheetData>
    <row r="1" spans="1:12" x14ac:dyDescent="0.25">
      <c r="A1" s="43"/>
      <c r="B1" s="43"/>
      <c r="C1" s="43"/>
      <c r="D1" s="43"/>
      <c r="E1" s="43"/>
      <c r="F1" s="43"/>
      <c r="H1" s="46"/>
      <c r="I1" s="45"/>
      <c r="J1" s="45"/>
      <c r="L1" s="47" t="s">
        <v>90</v>
      </c>
    </row>
    <row r="2" spans="1:12" x14ac:dyDescent="0.25">
      <c r="A2" s="43"/>
      <c r="B2" s="43"/>
      <c r="C2" s="43"/>
      <c r="D2" s="43"/>
      <c r="E2" s="43"/>
      <c r="F2" s="43"/>
      <c r="G2" s="47"/>
      <c r="H2" s="47"/>
      <c r="I2" s="47"/>
      <c r="J2" s="47"/>
    </row>
    <row r="3" spans="1:12" s="48" customFormat="1" ht="55.5" customHeight="1" x14ac:dyDescent="0.25">
      <c r="A3" s="186" t="s">
        <v>165</v>
      </c>
      <c r="B3" s="186"/>
      <c r="C3" s="186"/>
      <c r="D3" s="186"/>
      <c r="E3" s="186"/>
      <c r="F3" s="186"/>
      <c r="G3" s="186"/>
      <c r="H3" s="187"/>
      <c r="I3" s="187"/>
      <c r="J3" s="187"/>
      <c r="K3" s="187"/>
      <c r="L3" s="187"/>
    </row>
    <row r="4" spans="1:12" s="48" customFormat="1" x14ac:dyDescent="0.25">
      <c r="A4" s="188"/>
      <c r="B4" s="188"/>
      <c r="C4" s="188"/>
      <c r="D4" s="188"/>
      <c r="E4" s="188"/>
      <c r="F4" s="188"/>
      <c r="G4" s="188"/>
      <c r="H4" s="49"/>
      <c r="I4" s="49"/>
      <c r="J4" s="49"/>
    </row>
    <row r="5" spans="1:12" s="48" customFormat="1" ht="48.75" customHeight="1" x14ac:dyDescent="0.25">
      <c r="A5" s="179" t="s">
        <v>91</v>
      </c>
      <c r="B5" s="179" t="s">
        <v>92</v>
      </c>
      <c r="C5" s="179" t="s">
        <v>93</v>
      </c>
      <c r="D5" s="179" t="s">
        <v>94</v>
      </c>
      <c r="E5" s="179" t="s">
        <v>166</v>
      </c>
      <c r="F5" s="179" t="s">
        <v>167</v>
      </c>
      <c r="G5" s="189" t="s">
        <v>95</v>
      </c>
      <c r="H5" s="191" t="s">
        <v>168</v>
      </c>
      <c r="I5" s="191"/>
      <c r="J5" s="192"/>
      <c r="K5" s="176" t="s">
        <v>96</v>
      </c>
      <c r="L5" s="176" t="s">
        <v>97</v>
      </c>
    </row>
    <row r="6" spans="1:12" s="48" customFormat="1" ht="48.75" customHeight="1" x14ac:dyDescent="0.25">
      <c r="A6" s="176"/>
      <c r="B6" s="176"/>
      <c r="C6" s="176"/>
      <c r="D6" s="176"/>
      <c r="E6" s="176"/>
      <c r="F6" s="176"/>
      <c r="G6" s="190"/>
      <c r="H6" s="193"/>
      <c r="I6" s="193"/>
      <c r="J6" s="194"/>
      <c r="K6" s="176"/>
      <c r="L6" s="176"/>
    </row>
    <row r="7" spans="1:12" s="48" customFormat="1" ht="48.75" customHeight="1" x14ac:dyDescent="0.25">
      <c r="A7" s="176"/>
      <c r="B7" s="176"/>
      <c r="C7" s="176"/>
      <c r="D7" s="176"/>
      <c r="E7" s="176"/>
      <c r="F7" s="176"/>
      <c r="G7" s="190"/>
      <c r="H7" s="50" t="s">
        <v>169</v>
      </c>
      <c r="I7" s="50" t="s">
        <v>169</v>
      </c>
      <c r="J7" s="50" t="s">
        <v>169</v>
      </c>
      <c r="K7" s="176"/>
      <c r="L7" s="176"/>
    </row>
    <row r="8" spans="1:12" x14ac:dyDescent="0.25">
      <c r="A8" s="51">
        <v>1</v>
      </c>
      <c r="B8" s="51">
        <v>2</v>
      </c>
      <c r="C8" s="51">
        <v>3</v>
      </c>
      <c r="D8" s="51">
        <v>4</v>
      </c>
      <c r="E8" s="51">
        <v>5</v>
      </c>
      <c r="F8" s="51">
        <v>6</v>
      </c>
      <c r="G8" s="51">
        <v>7</v>
      </c>
      <c r="H8" s="51">
        <v>9</v>
      </c>
      <c r="I8" s="51">
        <v>10</v>
      </c>
      <c r="J8" s="51">
        <v>11</v>
      </c>
      <c r="K8" s="51">
        <v>12</v>
      </c>
      <c r="L8" s="51">
        <v>13</v>
      </c>
    </row>
    <row r="9" spans="1:12" x14ac:dyDescent="0.25">
      <c r="A9" s="177">
        <v>1</v>
      </c>
      <c r="B9" s="180"/>
      <c r="C9" s="183"/>
      <c r="D9" s="177"/>
      <c r="E9" s="173"/>
      <c r="F9" s="173"/>
      <c r="G9" s="52"/>
      <c r="H9" s="53"/>
      <c r="I9" s="53"/>
      <c r="J9" s="53"/>
      <c r="K9" s="173"/>
      <c r="L9" s="173"/>
    </row>
    <row r="10" spans="1:12" x14ac:dyDescent="0.25">
      <c r="A10" s="178"/>
      <c r="B10" s="181"/>
      <c r="C10" s="184"/>
      <c r="D10" s="178"/>
      <c r="E10" s="174"/>
      <c r="F10" s="174"/>
      <c r="G10" s="52"/>
      <c r="H10" s="54"/>
      <c r="I10" s="51"/>
      <c r="J10" s="51"/>
      <c r="K10" s="174"/>
      <c r="L10" s="174"/>
    </row>
    <row r="11" spans="1:12" x14ac:dyDescent="0.25">
      <c r="A11" s="178"/>
      <c r="B11" s="181"/>
      <c r="C11" s="184"/>
      <c r="D11" s="178"/>
      <c r="E11" s="174"/>
      <c r="F11" s="174"/>
      <c r="G11" s="52"/>
      <c r="H11" s="54"/>
      <c r="I11" s="51"/>
      <c r="J11" s="51"/>
      <c r="K11" s="174"/>
      <c r="L11" s="174"/>
    </row>
    <row r="12" spans="1:12" x14ac:dyDescent="0.25">
      <c r="A12" s="178"/>
      <c r="B12" s="181"/>
      <c r="C12" s="184"/>
      <c r="D12" s="178"/>
      <c r="E12" s="174"/>
      <c r="F12" s="174"/>
      <c r="G12" s="52"/>
      <c r="H12" s="54"/>
      <c r="I12" s="51"/>
      <c r="J12" s="51"/>
      <c r="K12" s="174"/>
      <c r="L12" s="174"/>
    </row>
    <row r="13" spans="1:12" x14ac:dyDescent="0.25">
      <c r="A13" s="178"/>
      <c r="B13" s="181"/>
      <c r="C13" s="184"/>
      <c r="D13" s="178"/>
      <c r="E13" s="174"/>
      <c r="F13" s="174"/>
      <c r="G13" s="52"/>
      <c r="H13" s="54"/>
      <c r="I13" s="51"/>
      <c r="J13" s="51"/>
      <c r="K13" s="174"/>
      <c r="L13" s="174"/>
    </row>
    <row r="14" spans="1:12" x14ac:dyDescent="0.25">
      <c r="A14" s="178"/>
      <c r="B14" s="181"/>
      <c r="C14" s="184"/>
      <c r="D14" s="178"/>
      <c r="E14" s="174"/>
      <c r="F14" s="174"/>
      <c r="G14" s="52"/>
      <c r="H14" s="54"/>
      <c r="I14" s="51"/>
      <c r="J14" s="51"/>
      <c r="K14" s="174"/>
      <c r="L14" s="174"/>
    </row>
    <row r="15" spans="1:12" s="55" customFormat="1" x14ac:dyDescent="0.2">
      <c r="A15" s="179"/>
      <c r="B15" s="182"/>
      <c r="C15" s="185"/>
      <c r="D15" s="179"/>
      <c r="E15" s="175"/>
      <c r="F15" s="175"/>
      <c r="G15" s="52"/>
      <c r="H15" s="53"/>
      <c r="I15" s="53"/>
      <c r="J15" s="53"/>
      <c r="K15" s="175"/>
      <c r="L15" s="175"/>
    </row>
    <row r="16" spans="1:12" x14ac:dyDescent="0.25">
      <c r="H16" s="44"/>
      <c r="I16" s="44"/>
      <c r="J16" s="44"/>
    </row>
    <row r="17" spans="8:10" x14ac:dyDescent="0.25">
      <c r="H17" s="44"/>
      <c r="I17" s="44"/>
      <c r="J17" s="44"/>
    </row>
    <row r="18" spans="8:10" x14ac:dyDescent="0.25">
      <c r="H18" s="56"/>
      <c r="I18" s="56"/>
      <c r="J18" s="56"/>
    </row>
    <row r="19" spans="8:10" x14ac:dyDescent="0.25">
      <c r="H19" s="44"/>
      <c r="I19" s="44"/>
      <c r="J19" s="44"/>
    </row>
    <row r="20" spans="8:10" x14ac:dyDescent="0.25">
      <c r="H20" s="44"/>
      <c r="I20" s="44"/>
      <c r="J20" s="44"/>
    </row>
    <row r="21" spans="8:10" x14ac:dyDescent="0.25">
      <c r="H21" s="44"/>
      <c r="I21" s="44"/>
      <c r="J21" s="44"/>
    </row>
    <row r="22" spans="8:10" x14ac:dyDescent="0.25">
      <c r="H22" s="44"/>
      <c r="I22" s="44"/>
      <c r="J22" s="44"/>
    </row>
    <row r="23" spans="8:10" x14ac:dyDescent="0.25">
      <c r="H23" s="44"/>
      <c r="I23" s="44"/>
      <c r="J23" s="44"/>
    </row>
    <row r="24" spans="8:10" x14ac:dyDescent="0.25">
      <c r="H24" s="44"/>
      <c r="I24" s="44"/>
      <c r="J24" s="44"/>
    </row>
    <row r="25" spans="8:10" x14ac:dyDescent="0.25">
      <c r="H25" s="44"/>
      <c r="I25" s="44"/>
      <c r="J25" s="44"/>
    </row>
    <row r="26" spans="8:10" x14ac:dyDescent="0.25">
      <c r="H26" s="44"/>
      <c r="I26" s="44"/>
      <c r="J26" s="44"/>
    </row>
    <row r="27" spans="8:10" x14ac:dyDescent="0.25">
      <c r="H27" s="44"/>
      <c r="I27" s="44"/>
      <c r="J27" s="44"/>
    </row>
    <row r="28" spans="8:10" x14ac:dyDescent="0.25">
      <c r="H28" s="44"/>
      <c r="I28" s="44"/>
      <c r="J28" s="44"/>
    </row>
    <row r="29" spans="8:10" x14ac:dyDescent="0.25">
      <c r="H29" s="44"/>
      <c r="I29" s="44"/>
      <c r="J29" s="44"/>
    </row>
    <row r="30" spans="8:10" x14ac:dyDescent="0.25">
      <c r="H30" s="44"/>
      <c r="I30" s="44"/>
      <c r="J30" s="44"/>
    </row>
    <row r="31" spans="8:10" x14ac:dyDescent="0.25">
      <c r="H31" s="44"/>
      <c r="I31" s="44"/>
      <c r="J31" s="44"/>
    </row>
    <row r="32" spans="8:10" x14ac:dyDescent="0.25">
      <c r="H32" s="44"/>
      <c r="I32" s="44"/>
      <c r="J32" s="44"/>
    </row>
    <row r="33" s="44" customFormat="1" x14ac:dyDescent="0.25"/>
    <row r="34" s="44" customFormat="1" x14ac:dyDescent="0.25"/>
    <row r="35" s="44" customFormat="1" x14ac:dyDescent="0.25"/>
  </sheetData>
  <mergeCells count="20">
    <mergeCell ref="A3:L3"/>
    <mergeCell ref="A4:G4"/>
    <mergeCell ref="A5:A7"/>
    <mergeCell ref="B5:B7"/>
    <mergeCell ref="C5:C7"/>
    <mergeCell ref="D5:D7"/>
    <mergeCell ref="E5:E7"/>
    <mergeCell ref="F5:F7"/>
    <mergeCell ref="G5:G7"/>
    <mergeCell ref="H5:J6"/>
    <mergeCell ref="L9:L15"/>
    <mergeCell ref="K5:K7"/>
    <mergeCell ref="L5:L7"/>
    <mergeCell ref="A9:A15"/>
    <mergeCell ref="B9:B15"/>
    <mergeCell ref="C9:C15"/>
    <mergeCell ref="D9:D15"/>
    <mergeCell ref="E9:E15"/>
    <mergeCell ref="F9:F15"/>
    <mergeCell ref="K9:K15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30"/>
  <sheetViews>
    <sheetView workbookViewId="0">
      <selection activeCell="E41" sqref="E41"/>
    </sheetView>
  </sheetViews>
  <sheetFormatPr defaultColWidth="9.140625" defaultRowHeight="15.75" x14ac:dyDescent="0.25"/>
  <cols>
    <col min="1" max="1" width="5.140625" style="44" customWidth="1"/>
    <col min="2" max="2" width="30.28515625" style="44" customWidth="1"/>
    <col min="3" max="3" width="23" style="44" customWidth="1"/>
    <col min="4" max="4" width="21.5703125" style="44" customWidth="1"/>
    <col min="5" max="5" width="32.85546875" style="44" customWidth="1"/>
    <col min="6" max="6" width="20.5703125" style="44" customWidth="1"/>
    <col min="7" max="7" width="32.7109375" style="44" customWidth="1"/>
    <col min="8" max="8" width="23.85546875" style="44" customWidth="1"/>
    <col min="9" max="9" width="24.28515625" style="44" customWidth="1"/>
    <col min="10" max="10" width="22.85546875" style="44" customWidth="1"/>
    <col min="11" max="11" width="23.7109375" style="44" customWidth="1"/>
    <col min="12" max="16384" width="9.140625" style="44"/>
  </cols>
  <sheetData>
    <row r="1" spans="1:7" x14ac:dyDescent="0.25">
      <c r="A1" s="43"/>
      <c r="B1" s="43"/>
      <c r="C1" s="43"/>
      <c r="D1" s="43"/>
      <c r="E1" s="43"/>
      <c r="F1" s="43"/>
      <c r="G1" s="47" t="s">
        <v>98</v>
      </c>
    </row>
    <row r="2" spans="1:7" x14ac:dyDescent="0.25">
      <c r="A2" s="43"/>
      <c r="B2" s="43"/>
      <c r="C2" s="43"/>
      <c r="D2" s="43"/>
      <c r="E2" s="43"/>
      <c r="F2" s="43"/>
      <c r="G2" s="47"/>
    </row>
    <row r="3" spans="1:7" s="48" customFormat="1" x14ac:dyDescent="0.25">
      <c r="A3" s="186" t="s">
        <v>99</v>
      </c>
      <c r="B3" s="186"/>
      <c r="C3" s="186"/>
      <c r="D3" s="186"/>
      <c r="E3" s="186"/>
      <c r="F3" s="186"/>
      <c r="G3" s="186"/>
    </row>
    <row r="4" spans="1:7" s="48" customFormat="1" x14ac:dyDescent="0.25">
      <c r="A4" s="188"/>
      <c r="B4" s="188"/>
      <c r="C4" s="188"/>
      <c r="D4" s="188"/>
      <c r="E4" s="188"/>
      <c r="F4" s="188"/>
      <c r="G4" s="188"/>
    </row>
    <row r="5" spans="1:7" s="48" customFormat="1" x14ac:dyDescent="0.25">
      <c r="A5" s="179" t="s">
        <v>91</v>
      </c>
      <c r="B5" s="179" t="s">
        <v>100</v>
      </c>
      <c r="C5" s="179" t="s">
        <v>93</v>
      </c>
      <c r="D5" s="179" t="s">
        <v>101</v>
      </c>
      <c r="E5" s="179" t="s">
        <v>102</v>
      </c>
      <c r="F5" s="179" t="s">
        <v>103</v>
      </c>
      <c r="G5" s="189" t="s">
        <v>104</v>
      </c>
    </row>
    <row r="6" spans="1:7" s="48" customFormat="1" x14ac:dyDescent="0.25">
      <c r="A6" s="176"/>
      <c r="B6" s="176"/>
      <c r="C6" s="176"/>
      <c r="D6" s="176"/>
      <c r="E6" s="176"/>
      <c r="F6" s="176"/>
      <c r="G6" s="190"/>
    </row>
    <row r="7" spans="1:7" s="48" customFormat="1" ht="29.25" customHeight="1" x14ac:dyDescent="0.25">
      <c r="A7" s="176"/>
      <c r="B7" s="176"/>
      <c r="C7" s="176"/>
      <c r="D7" s="176"/>
      <c r="E7" s="176"/>
      <c r="F7" s="176"/>
      <c r="G7" s="190"/>
    </row>
    <row r="8" spans="1:7" x14ac:dyDescent="0.25">
      <c r="A8" s="51">
        <v>1</v>
      </c>
      <c r="B8" s="51">
        <v>2</v>
      </c>
      <c r="C8" s="51">
        <v>3</v>
      </c>
      <c r="D8" s="51">
        <v>4</v>
      </c>
      <c r="E8" s="51">
        <v>5</v>
      </c>
      <c r="F8" s="51">
        <v>6</v>
      </c>
      <c r="G8" s="51">
        <v>7</v>
      </c>
    </row>
    <row r="9" spans="1:7" s="55" customFormat="1" ht="12" customHeight="1" x14ac:dyDescent="0.2">
      <c r="A9" s="177"/>
      <c r="B9" s="180"/>
      <c r="C9" s="183"/>
      <c r="D9" s="177"/>
      <c r="E9" s="177"/>
      <c r="F9" s="180"/>
      <c r="G9" s="183"/>
    </row>
    <row r="10" spans="1:7" x14ac:dyDescent="0.25">
      <c r="A10" s="178"/>
      <c r="B10" s="181"/>
      <c r="C10" s="184"/>
      <c r="D10" s="178"/>
      <c r="E10" s="178"/>
      <c r="F10" s="181"/>
      <c r="G10" s="184"/>
    </row>
    <row r="11" spans="1:7" x14ac:dyDescent="0.25">
      <c r="A11" s="178"/>
      <c r="B11" s="181"/>
      <c r="C11" s="184"/>
      <c r="D11" s="178"/>
      <c r="E11" s="178"/>
      <c r="F11" s="181"/>
      <c r="G11" s="184"/>
    </row>
    <row r="12" spans="1:7" x14ac:dyDescent="0.25">
      <c r="A12" s="178"/>
      <c r="B12" s="181"/>
      <c r="C12" s="184"/>
      <c r="D12" s="178"/>
      <c r="E12" s="178"/>
      <c r="F12" s="181"/>
      <c r="G12" s="184"/>
    </row>
    <row r="13" spans="1:7" x14ac:dyDescent="0.25">
      <c r="A13" s="178"/>
      <c r="B13" s="181"/>
      <c r="C13" s="184"/>
      <c r="D13" s="178"/>
      <c r="E13" s="178"/>
      <c r="F13" s="181"/>
      <c r="G13" s="184"/>
    </row>
    <row r="14" spans="1:7" x14ac:dyDescent="0.25">
      <c r="A14" s="178"/>
      <c r="B14" s="181"/>
      <c r="C14" s="184"/>
      <c r="D14" s="178"/>
      <c r="E14" s="178"/>
      <c r="F14" s="181"/>
      <c r="G14" s="184"/>
    </row>
    <row r="15" spans="1:7" x14ac:dyDescent="0.25">
      <c r="A15" s="179"/>
      <c r="B15" s="182"/>
      <c r="C15" s="185"/>
      <c r="D15" s="179"/>
      <c r="E15" s="179"/>
      <c r="F15" s="182"/>
      <c r="G15" s="185"/>
    </row>
    <row r="16" spans="1:7" s="59" customFormat="1" ht="29.25" hidden="1" customHeight="1" x14ac:dyDescent="0.25">
      <c r="A16" s="44"/>
      <c r="B16" s="198"/>
      <c r="C16" s="199"/>
      <c r="D16" s="199"/>
      <c r="E16" s="199"/>
      <c r="F16" s="199"/>
      <c r="G16" s="44"/>
    </row>
    <row r="17" spans="1:24" s="48" customFormat="1" ht="29.25" hidden="1" customHeight="1" x14ac:dyDescent="0.25">
      <c r="A17" s="44"/>
      <c r="B17" s="198"/>
      <c r="C17" s="199"/>
      <c r="D17" s="199"/>
      <c r="E17" s="199"/>
      <c r="F17" s="199"/>
      <c r="G17" s="44"/>
    </row>
    <row r="18" spans="1:24" s="48" customFormat="1" ht="30" hidden="1" customHeight="1" x14ac:dyDescent="0.25">
      <c r="A18" s="44"/>
      <c r="B18" s="198"/>
      <c r="C18" s="199"/>
      <c r="D18" s="199"/>
      <c r="E18" s="199"/>
      <c r="F18" s="199"/>
      <c r="G18" s="44"/>
      <c r="H18" s="195"/>
      <c r="I18" s="195"/>
      <c r="J18" s="195"/>
      <c r="K18" s="195"/>
      <c r="L18" s="195"/>
      <c r="M18" s="60"/>
      <c r="N18" s="61"/>
      <c r="O18" s="62"/>
      <c r="P18" s="61"/>
      <c r="Q18" s="61"/>
      <c r="R18" s="61"/>
      <c r="S18" s="61"/>
      <c r="T18" s="61"/>
      <c r="U18" s="61"/>
      <c r="V18" s="195"/>
      <c r="W18" s="59"/>
      <c r="X18" s="59"/>
    </row>
    <row r="19" spans="1:24" s="48" customFormat="1" ht="30" hidden="1" customHeight="1" x14ac:dyDescent="0.25">
      <c r="A19" s="44"/>
      <c r="B19" s="198"/>
      <c r="C19" s="199"/>
      <c r="D19" s="199"/>
      <c r="E19" s="199"/>
      <c r="F19" s="199"/>
      <c r="G19" s="44"/>
      <c r="H19" s="195"/>
      <c r="I19" s="195"/>
      <c r="J19" s="195"/>
      <c r="K19" s="195"/>
      <c r="L19" s="195"/>
      <c r="M19" s="60"/>
      <c r="N19" s="62"/>
      <c r="O19" s="62"/>
      <c r="P19" s="62"/>
      <c r="Q19" s="62"/>
      <c r="R19" s="62"/>
      <c r="S19" s="62"/>
      <c r="T19" s="62"/>
      <c r="U19" s="62"/>
      <c r="V19" s="195"/>
      <c r="W19" s="59"/>
      <c r="X19" s="59"/>
    </row>
    <row r="20" spans="1:24" s="48" customFormat="1" ht="29.25" hidden="1" customHeight="1" x14ac:dyDescent="0.25">
      <c r="A20" s="44"/>
      <c r="B20" s="198"/>
      <c r="C20" s="199"/>
      <c r="D20" s="199"/>
      <c r="E20" s="199"/>
      <c r="F20" s="199"/>
      <c r="G20" s="44"/>
      <c r="H20" s="195"/>
      <c r="I20" s="195"/>
      <c r="J20" s="195"/>
      <c r="K20" s="195"/>
      <c r="L20" s="195"/>
      <c r="M20" s="63"/>
      <c r="N20" s="62"/>
      <c r="O20" s="62"/>
      <c r="P20" s="62"/>
      <c r="Q20" s="62"/>
      <c r="R20" s="62"/>
      <c r="S20" s="62"/>
      <c r="T20" s="62"/>
      <c r="U20" s="62"/>
      <c r="V20" s="195"/>
      <c r="W20" s="59"/>
      <c r="X20" s="59"/>
    </row>
    <row r="21" spans="1:24" s="48" customFormat="1" ht="29.25" hidden="1" customHeight="1" x14ac:dyDescent="0.25">
      <c r="A21" s="44"/>
      <c r="B21" s="200"/>
      <c r="C21" s="201"/>
      <c r="D21" s="201"/>
      <c r="E21" s="201"/>
      <c r="F21" s="201"/>
      <c r="G21" s="44"/>
      <c r="H21" s="195"/>
      <c r="I21" s="195"/>
      <c r="J21" s="195"/>
      <c r="K21" s="195"/>
      <c r="L21" s="195"/>
      <c r="M21" s="64"/>
      <c r="N21" s="62"/>
      <c r="O21" s="62"/>
      <c r="P21" s="62"/>
      <c r="Q21" s="62"/>
      <c r="R21" s="62"/>
      <c r="S21" s="62"/>
      <c r="T21" s="62"/>
      <c r="U21" s="62"/>
      <c r="V21" s="195"/>
      <c r="W21" s="59"/>
      <c r="X21" s="59"/>
    </row>
    <row r="22" spans="1:24" s="48" customFormat="1" ht="29.25" hidden="1" customHeight="1" x14ac:dyDescent="0.25">
      <c r="A22" s="44"/>
      <c r="B22" s="196" t="s">
        <v>105</v>
      </c>
      <c r="C22" s="197"/>
      <c r="D22" s="197"/>
      <c r="E22" s="197"/>
      <c r="F22" s="197"/>
      <c r="G22" s="44"/>
      <c r="H22" s="195"/>
      <c r="I22" s="195"/>
      <c r="J22" s="195"/>
      <c r="K22" s="195"/>
      <c r="L22" s="195"/>
      <c r="M22" s="63"/>
      <c r="N22" s="62"/>
      <c r="O22" s="62"/>
      <c r="P22" s="62"/>
      <c r="Q22" s="62"/>
      <c r="R22" s="62"/>
      <c r="S22" s="62"/>
      <c r="T22" s="62"/>
      <c r="U22" s="62"/>
      <c r="V22" s="195"/>
      <c r="W22" s="59"/>
      <c r="X22" s="59"/>
    </row>
    <row r="23" spans="1:24" s="48" customFormat="1" ht="29.25" hidden="1" customHeight="1" x14ac:dyDescent="0.25">
      <c r="A23" s="44"/>
      <c r="B23" s="198"/>
      <c r="C23" s="199"/>
      <c r="D23" s="199"/>
      <c r="E23" s="199"/>
      <c r="F23" s="199"/>
      <c r="G23" s="44"/>
      <c r="H23" s="195"/>
      <c r="I23" s="195"/>
      <c r="J23" s="195"/>
      <c r="K23" s="195"/>
      <c r="L23" s="195"/>
      <c r="M23" s="63"/>
      <c r="N23" s="62"/>
      <c r="O23" s="62"/>
      <c r="P23" s="62"/>
      <c r="Q23" s="62"/>
      <c r="R23" s="62"/>
      <c r="S23" s="62"/>
      <c r="T23" s="62"/>
      <c r="U23" s="62"/>
      <c r="V23" s="195"/>
      <c r="W23" s="59"/>
      <c r="X23" s="59"/>
    </row>
    <row r="24" spans="1:24" s="48" customFormat="1" ht="29.25" hidden="1" customHeight="1" x14ac:dyDescent="0.25">
      <c r="A24" s="44"/>
      <c r="B24" s="198"/>
      <c r="C24" s="199"/>
      <c r="D24" s="199"/>
      <c r="E24" s="199"/>
      <c r="F24" s="199"/>
      <c r="G24" s="44"/>
      <c r="H24" s="195"/>
      <c r="I24" s="195"/>
      <c r="J24" s="195"/>
      <c r="K24" s="195"/>
      <c r="L24" s="195"/>
      <c r="M24" s="65"/>
      <c r="N24" s="62"/>
      <c r="O24" s="61"/>
      <c r="P24" s="61"/>
      <c r="Q24" s="61"/>
      <c r="R24" s="61"/>
      <c r="S24" s="61"/>
      <c r="T24" s="61"/>
      <c r="U24" s="61"/>
      <c r="V24" s="195"/>
      <c r="W24" s="59"/>
      <c r="X24" s="59"/>
    </row>
    <row r="25" spans="1:24" s="48" customFormat="1" ht="29.25" hidden="1" customHeight="1" x14ac:dyDescent="0.25">
      <c r="A25" s="44"/>
      <c r="B25" s="198"/>
      <c r="C25" s="199"/>
      <c r="D25" s="199"/>
      <c r="E25" s="199"/>
      <c r="F25" s="199"/>
      <c r="G25" s="44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</row>
    <row r="26" spans="1:24" s="48" customFormat="1" ht="29.25" hidden="1" customHeight="1" x14ac:dyDescent="0.25">
      <c r="A26" s="44"/>
      <c r="B26" s="198"/>
      <c r="C26" s="199"/>
      <c r="D26" s="199"/>
      <c r="E26" s="199"/>
      <c r="F26" s="199"/>
      <c r="G26" s="44"/>
    </row>
    <row r="27" spans="1:24" ht="15.75" hidden="1" customHeight="1" x14ac:dyDescent="0.25">
      <c r="B27" s="198"/>
      <c r="C27" s="199"/>
      <c r="D27" s="199"/>
      <c r="E27" s="199"/>
      <c r="F27" s="199"/>
    </row>
    <row r="28" spans="1:24" ht="15.75" hidden="1" customHeight="1" x14ac:dyDescent="0.25">
      <c r="B28" s="200"/>
      <c r="C28" s="201"/>
      <c r="D28" s="201"/>
      <c r="E28" s="201"/>
      <c r="F28" s="201"/>
    </row>
    <row r="29" spans="1:24" ht="15.75" hidden="1" customHeight="1" x14ac:dyDescent="0.25"/>
    <row r="30" spans="1:24" ht="15.75" hidden="1" customHeight="1" x14ac:dyDescent="0.25"/>
  </sheetData>
  <mergeCells count="24">
    <mergeCell ref="A3:G3"/>
    <mergeCell ref="A4:G4"/>
    <mergeCell ref="A5:A7"/>
    <mergeCell ref="B5:B7"/>
    <mergeCell ref="C5:C7"/>
    <mergeCell ref="D5:D7"/>
    <mergeCell ref="E5:E7"/>
    <mergeCell ref="F5:F7"/>
    <mergeCell ref="G5:G7"/>
    <mergeCell ref="G9:G15"/>
    <mergeCell ref="A9:A15"/>
    <mergeCell ref="B9:B15"/>
    <mergeCell ref="C9:C15"/>
    <mergeCell ref="D9:D15"/>
    <mergeCell ref="E9:E15"/>
    <mergeCell ref="F9:F15"/>
    <mergeCell ref="L18:L24"/>
    <mergeCell ref="V18:V24"/>
    <mergeCell ref="B22:F28"/>
    <mergeCell ref="B16:F21"/>
    <mergeCell ref="H18:H24"/>
    <mergeCell ref="I18:I24"/>
    <mergeCell ref="J18:J24"/>
    <mergeCell ref="K18:K2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D7" sqref="D7"/>
    </sheetView>
  </sheetViews>
  <sheetFormatPr defaultColWidth="9.140625" defaultRowHeight="15" x14ac:dyDescent="0.25"/>
  <cols>
    <col min="1" max="1" width="6" style="27" customWidth="1"/>
    <col min="2" max="2" width="43.7109375" style="27" customWidth="1"/>
    <col min="3" max="3" width="31.28515625" style="27" customWidth="1"/>
    <col min="4" max="4" width="40.28515625" style="27" customWidth="1"/>
    <col min="5" max="16384" width="9.140625" style="27"/>
  </cols>
  <sheetData>
    <row r="1" spans="1:4" x14ac:dyDescent="0.25">
      <c r="D1" s="28" t="s">
        <v>58</v>
      </c>
    </row>
    <row r="2" spans="1:4" x14ac:dyDescent="0.25">
      <c r="D2" s="28"/>
    </row>
    <row r="3" spans="1:4" x14ac:dyDescent="0.25">
      <c r="A3" s="202" t="s">
        <v>54</v>
      </c>
      <c r="B3" s="202"/>
      <c r="C3" s="202"/>
      <c r="D3" s="202"/>
    </row>
    <row r="4" spans="1:4" x14ac:dyDescent="0.25">
      <c r="A4" s="203" t="s">
        <v>55</v>
      </c>
      <c r="B4" s="203"/>
      <c r="C4" s="203"/>
      <c r="D4" s="203"/>
    </row>
    <row r="5" spans="1:4" x14ac:dyDescent="0.25">
      <c r="A5" s="203" t="s">
        <v>56</v>
      </c>
      <c r="B5" s="203"/>
      <c r="C5" s="203"/>
      <c r="D5" s="203"/>
    </row>
    <row r="6" spans="1:4" x14ac:dyDescent="0.25">
      <c r="A6" s="29"/>
      <c r="B6" s="29"/>
      <c r="C6" s="29"/>
      <c r="D6" s="29"/>
    </row>
    <row r="7" spans="1:4" ht="60" x14ac:dyDescent="0.25">
      <c r="A7" s="25" t="s">
        <v>51</v>
      </c>
      <c r="B7" s="25" t="s">
        <v>52</v>
      </c>
      <c r="C7" s="25" t="s">
        <v>57</v>
      </c>
      <c r="D7" s="25" t="s">
        <v>53</v>
      </c>
    </row>
    <row r="8" spans="1:4" s="31" customFormat="1" ht="11.25" x14ac:dyDescent="0.2">
      <c r="A8" s="30">
        <v>1</v>
      </c>
      <c r="B8" s="30">
        <v>2</v>
      </c>
      <c r="C8" s="30">
        <v>3</v>
      </c>
      <c r="D8" s="30">
        <v>4</v>
      </c>
    </row>
    <row r="9" spans="1:4" x14ac:dyDescent="0.25">
      <c r="A9" s="25">
        <v>1</v>
      </c>
      <c r="B9" s="26"/>
      <c r="C9" s="26"/>
      <c r="D9" s="26"/>
    </row>
    <row r="10" spans="1:4" x14ac:dyDescent="0.25">
      <c r="A10" s="25">
        <v>2</v>
      </c>
      <c r="B10" s="26"/>
      <c r="C10" s="26"/>
      <c r="D10" s="26"/>
    </row>
    <row r="11" spans="1:4" x14ac:dyDescent="0.25">
      <c r="A11" s="25">
        <v>3</v>
      </c>
      <c r="B11" s="26"/>
      <c r="C11" s="26"/>
      <c r="D11" s="26"/>
    </row>
    <row r="12" spans="1:4" x14ac:dyDescent="0.25">
      <c r="A12" s="25">
        <v>4</v>
      </c>
      <c r="B12" s="26"/>
      <c r="C12" s="26"/>
      <c r="D12" s="26"/>
    </row>
  </sheetData>
  <mergeCells count="3">
    <mergeCell ref="A3:D3"/>
    <mergeCell ref="A4:D4"/>
    <mergeCell ref="A5:D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4"/>
  <sheetViews>
    <sheetView workbookViewId="0">
      <selection activeCell="F27" sqref="F27"/>
    </sheetView>
  </sheetViews>
  <sheetFormatPr defaultColWidth="9.140625" defaultRowHeight="15" x14ac:dyDescent="0.25"/>
  <cols>
    <col min="1" max="1" width="4.85546875" style="27" customWidth="1"/>
    <col min="2" max="2" width="25.7109375" style="27" customWidth="1"/>
    <col min="3" max="3" width="16.5703125" style="27" customWidth="1"/>
    <col min="4" max="4" width="11.7109375" style="27" customWidth="1"/>
    <col min="5" max="5" width="11.28515625" style="27" customWidth="1"/>
    <col min="6" max="10" width="20.7109375" style="27" customWidth="1"/>
    <col min="11" max="16384" width="9.140625" style="27"/>
  </cols>
  <sheetData>
    <row r="1" spans="1:10" x14ac:dyDescent="0.25">
      <c r="J1" s="28" t="s">
        <v>69</v>
      </c>
    </row>
    <row r="3" spans="1:10" x14ac:dyDescent="0.25">
      <c r="A3" s="202" t="s">
        <v>68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0" x14ac:dyDescent="0.25">
      <c r="A4" s="202" t="s">
        <v>120</v>
      </c>
      <c r="B4" s="202"/>
      <c r="C4" s="202"/>
      <c r="D4" s="202"/>
      <c r="E4" s="202"/>
      <c r="F4" s="202"/>
      <c r="G4" s="202"/>
      <c r="H4" s="202"/>
      <c r="I4" s="202"/>
      <c r="J4" s="202"/>
    </row>
    <row r="6" spans="1:10" ht="149.25" customHeight="1" x14ac:dyDescent="0.25">
      <c r="A6" s="204" t="s">
        <v>59</v>
      </c>
      <c r="B6" s="204" t="s">
        <v>60</v>
      </c>
      <c r="C6" s="204" t="s">
        <v>61</v>
      </c>
      <c r="D6" s="204" t="s">
        <v>62</v>
      </c>
      <c r="E6" s="204" t="s">
        <v>121</v>
      </c>
      <c r="F6" s="204" t="s">
        <v>63</v>
      </c>
      <c r="G6" s="204"/>
      <c r="H6" s="204"/>
      <c r="I6" s="204"/>
      <c r="J6" s="204"/>
    </row>
    <row r="7" spans="1:10" x14ac:dyDescent="0.25">
      <c r="A7" s="204"/>
      <c r="B7" s="204"/>
      <c r="C7" s="204"/>
      <c r="D7" s="204"/>
      <c r="E7" s="204"/>
      <c r="F7" s="32" t="s">
        <v>122</v>
      </c>
      <c r="G7" s="32" t="s">
        <v>123</v>
      </c>
      <c r="H7" s="32" t="s">
        <v>124</v>
      </c>
      <c r="I7" s="32" t="s">
        <v>125</v>
      </c>
      <c r="J7" s="32" t="s">
        <v>126</v>
      </c>
    </row>
    <row r="8" spans="1:10" x14ac:dyDescent="0.25">
      <c r="A8" s="24">
        <v>1</v>
      </c>
      <c r="B8" s="24" t="s">
        <v>64</v>
      </c>
      <c r="C8" s="24" t="s">
        <v>64</v>
      </c>
      <c r="D8" s="24"/>
      <c r="E8" s="204" t="s">
        <v>65</v>
      </c>
      <c r="F8" s="204"/>
      <c r="G8" s="204"/>
      <c r="H8" s="204"/>
      <c r="I8" s="24"/>
      <c r="J8" s="32"/>
    </row>
    <row r="9" spans="1:10" x14ac:dyDescent="0.25">
      <c r="A9" s="24" t="s">
        <v>64</v>
      </c>
      <c r="B9" s="24" t="s">
        <v>64</v>
      </c>
      <c r="C9" s="24" t="s">
        <v>64</v>
      </c>
      <c r="D9" s="24" t="s">
        <v>64</v>
      </c>
      <c r="E9" s="24" t="s">
        <v>64</v>
      </c>
      <c r="F9" s="24"/>
      <c r="G9" s="24"/>
      <c r="H9" s="24"/>
      <c r="I9" s="24"/>
      <c r="J9" s="24"/>
    </row>
    <row r="10" spans="1:10" x14ac:dyDescent="0.25">
      <c r="A10" s="24" t="s">
        <v>64</v>
      </c>
      <c r="B10" s="24" t="s">
        <v>64</v>
      </c>
      <c r="C10" s="24" t="s">
        <v>64</v>
      </c>
      <c r="D10" s="24" t="s">
        <v>64</v>
      </c>
      <c r="E10" s="24" t="s">
        <v>64</v>
      </c>
      <c r="F10" s="24"/>
      <c r="G10" s="24"/>
      <c r="H10" s="24"/>
      <c r="I10" s="24"/>
      <c r="J10" s="24"/>
    </row>
    <row r="11" spans="1:10" x14ac:dyDescent="0.25">
      <c r="A11" s="24" t="s">
        <v>64</v>
      </c>
      <c r="B11" s="33"/>
      <c r="C11" s="33"/>
      <c r="D11" s="24" t="s">
        <v>64</v>
      </c>
      <c r="E11" s="204" t="s">
        <v>66</v>
      </c>
      <c r="F11" s="204"/>
      <c r="G11" s="204"/>
      <c r="H11" s="204"/>
      <c r="I11" s="24"/>
      <c r="J11" s="24"/>
    </row>
    <row r="12" spans="1:10" x14ac:dyDescent="0.25">
      <c r="A12" s="33"/>
      <c r="B12" s="33"/>
      <c r="C12" s="33"/>
      <c r="D12" s="24"/>
      <c r="E12" s="24"/>
      <c r="F12" s="24"/>
      <c r="G12" s="24"/>
      <c r="H12" s="24"/>
      <c r="I12" s="24"/>
      <c r="J12" s="24"/>
    </row>
    <row r="13" spans="1:10" x14ac:dyDescent="0.25">
      <c r="A13" s="33"/>
      <c r="B13" s="33"/>
      <c r="C13" s="33"/>
      <c r="D13" s="24"/>
      <c r="E13" s="24"/>
      <c r="F13" s="24"/>
      <c r="G13" s="24"/>
      <c r="H13" s="24"/>
      <c r="I13" s="24"/>
      <c r="J13" s="24"/>
    </row>
    <row r="14" spans="1:10" x14ac:dyDescent="0.25">
      <c r="A14" s="205" t="s">
        <v>67</v>
      </c>
      <c r="B14" s="205"/>
      <c r="C14" s="205"/>
      <c r="D14" s="205"/>
      <c r="E14" s="205"/>
      <c r="F14" s="205"/>
      <c r="G14" s="205"/>
      <c r="H14" s="205"/>
      <c r="I14" s="205"/>
      <c r="J14" s="205"/>
    </row>
  </sheetData>
  <mergeCells count="11">
    <mergeCell ref="E8:H8"/>
    <mergeCell ref="E11:H11"/>
    <mergeCell ref="A14:J14"/>
    <mergeCell ref="A3:J3"/>
    <mergeCell ref="A4:J4"/>
    <mergeCell ref="A6:A7"/>
    <mergeCell ref="B6:B7"/>
    <mergeCell ref="C6:C7"/>
    <mergeCell ref="D6:D7"/>
    <mergeCell ref="E6:E7"/>
    <mergeCell ref="F6:J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"/>
  <sheetViews>
    <sheetView tabSelected="1" workbookViewId="0">
      <selection activeCell="I19" sqref="I19"/>
    </sheetView>
  </sheetViews>
  <sheetFormatPr defaultRowHeight="15" x14ac:dyDescent="0.25"/>
  <cols>
    <col min="1" max="1" width="3.5703125" customWidth="1"/>
    <col min="2" max="2" width="54.85546875" customWidth="1"/>
    <col min="3" max="3" width="17.5703125" customWidth="1"/>
    <col min="4" max="7" width="7.85546875" customWidth="1"/>
    <col min="8" max="8" width="20.5703125" customWidth="1"/>
  </cols>
  <sheetData>
    <row r="1" spans="1:8" x14ac:dyDescent="0.25">
      <c r="H1" s="17" t="s">
        <v>41</v>
      </c>
    </row>
    <row r="3" spans="1:8" ht="15" customHeight="1" x14ac:dyDescent="0.25">
      <c r="A3" s="206" t="s">
        <v>26</v>
      </c>
      <c r="B3" s="206"/>
      <c r="C3" s="206"/>
      <c r="D3" s="206"/>
      <c r="E3" s="206"/>
      <c r="F3" s="206"/>
      <c r="G3" s="206"/>
      <c r="H3" s="206"/>
    </row>
    <row r="4" spans="1:8" x14ac:dyDescent="0.25">
      <c r="A4" s="206"/>
      <c r="B4" s="206"/>
      <c r="C4" s="206"/>
      <c r="D4" s="206"/>
      <c r="E4" s="206"/>
      <c r="F4" s="206"/>
      <c r="G4" s="206"/>
      <c r="H4" s="206"/>
    </row>
    <row r="6" spans="1:8" ht="39" customHeight="1" x14ac:dyDescent="0.25">
      <c r="A6" s="204" t="s">
        <v>21</v>
      </c>
      <c r="B6" s="204" t="s">
        <v>22</v>
      </c>
      <c r="C6" s="204" t="s">
        <v>23</v>
      </c>
      <c r="D6" s="207" t="s">
        <v>24</v>
      </c>
      <c r="E6" s="208"/>
      <c r="F6" s="208"/>
      <c r="G6" s="209"/>
      <c r="H6" s="204" t="s">
        <v>25</v>
      </c>
    </row>
    <row r="7" spans="1:8" ht="62.25" customHeight="1" x14ac:dyDescent="0.25">
      <c r="A7" s="204"/>
      <c r="B7" s="204"/>
      <c r="C7" s="204"/>
      <c r="D7" s="34" t="s">
        <v>27</v>
      </c>
      <c r="E7" s="34" t="s">
        <v>28</v>
      </c>
      <c r="F7" s="2" t="s">
        <v>71</v>
      </c>
      <c r="G7" s="66" t="s">
        <v>127</v>
      </c>
      <c r="H7" s="204"/>
    </row>
    <row r="8" spans="1:8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67">
        <v>7</v>
      </c>
      <c r="H8" s="3">
        <v>8</v>
      </c>
    </row>
    <row r="9" spans="1:8" ht="31.5" x14ac:dyDescent="0.25">
      <c r="A9" s="2">
        <v>1</v>
      </c>
      <c r="B9" s="5" t="s">
        <v>72</v>
      </c>
      <c r="C9" s="37">
        <v>16.5</v>
      </c>
      <c r="D9" s="38">
        <v>16.5</v>
      </c>
      <c r="E9" s="38">
        <v>16.7</v>
      </c>
      <c r="F9" s="37">
        <v>16.8</v>
      </c>
      <c r="G9" s="37">
        <v>16.899999999999999</v>
      </c>
      <c r="H9" s="37">
        <v>16.899999999999999</v>
      </c>
    </row>
    <row r="10" spans="1:8" ht="47.25" x14ac:dyDescent="0.25">
      <c r="A10" s="2">
        <v>2</v>
      </c>
      <c r="B10" s="4" t="s">
        <v>73</v>
      </c>
      <c r="C10" s="39">
        <v>0.02</v>
      </c>
      <c r="D10" s="40">
        <v>2.5000000000000001E-2</v>
      </c>
      <c r="E10" s="40">
        <v>3.5000000000000003E-2</v>
      </c>
      <c r="F10" s="39">
        <v>0.04</v>
      </c>
      <c r="G10" s="39">
        <v>4.2000000000000003E-2</v>
      </c>
      <c r="H10" s="39">
        <v>4.2000000000000003E-2</v>
      </c>
    </row>
    <row r="11" spans="1:8" ht="31.5" x14ac:dyDescent="0.25">
      <c r="A11" s="2">
        <v>3</v>
      </c>
      <c r="B11" s="36" t="s">
        <v>74</v>
      </c>
      <c r="C11" s="41">
        <v>1.3</v>
      </c>
      <c r="D11" s="42">
        <f>1300/1000</f>
        <v>1.3</v>
      </c>
      <c r="E11" s="42">
        <f>1630/1000</f>
        <v>1.63</v>
      </c>
      <c r="F11" s="41">
        <f>1840/1000</f>
        <v>1.84</v>
      </c>
      <c r="G11" s="41">
        <v>1.9</v>
      </c>
      <c r="H11" s="41">
        <f>1900/1000</f>
        <v>1.9</v>
      </c>
    </row>
    <row r="12" spans="1:8" x14ac:dyDescent="0.25">
      <c r="H12" t="s">
        <v>137</v>
      </c>
    </row>
  </sheetData>
  <mergeCells count="6">
    <mergeCell ref="A3:H4"/>
    <mergeCell ref="H6:H7"/>
    <mergeCell ref="A6:A7"/>
    <mergeCell ref="B6:B7"/>
    <mergeCell ref="C6:C7"/>
    <mergeCell ref="D6:G6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Лукашева Лариса Александровна</cp:lastModifiedBy>
  <cp:lastPrinted>2024-12-09T10:45:28Z</cp:lastPrinted>
  <dcterms:created xsi:type="dcterms:W3CDTF">2021-11-15T12:04:53Z</dcterms:created>
  <dcterms:modified xsi:type="dcterms:W3CDTF">2024-12-09T10:45:33Z</dcterms:modified>
</cp:coreProperties>
</file>