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375" yWindow="4125" windowWidth="25440" windowHeight="15840"/>
  </bookViews>
  <sheets>
    <sheet name="таблица 1 " sheetId="28" r:id="rId1"/>
    <sheet name=" таблица 2" sheetId="24" r:id="rId2"/>
    <sheet name="таблица 3 " sheetId="23" r:id="rId3"/>
    <sheet name="таблица 4" sheetId="15" r:id="rId4"/>
    <sheet name="таблица 5  " sheetId="29" r:id="rId5"/>
    <sheet name="таблица 6" sheetId="17" r:id="rId6"/>
    <sheet name="таблица 7" sheetId="27" r:id="rId7"/>
    <sheet name="комплексный план" sheetId="8" state="hidden" r:id="rId8"/>
  </sheets>
  <externalReferences>
    <externalReference r:id="rId9"/>
  </externalReferences>
  <definedNames>
    <definedName name="_xlnm.Print_Titles" localSheetId="1">' таблица 2'!$5:$9</definedName>
    <definedName name="_xlnm.Print_Titles" localSheetId="3">'таблица 4'!$5:$6</definedName>
    <definedName name="_xlnm.Print_Titles" localSheetId="4">'таблица 5  '!$5:$6</definedName>
    <definedName name="_xlnm.Print_Titles" localSheetId="5">'таблица 6'!$5:$8</definedName>
    <definedName name="_xlnm.Print_Area" localSheetId="1">' таблица 2'!$A$1:$M$213</definedName>
    <definedName name="_xlnm.Print_Area" localSheetId="0">'таблица 1 '!$A$1:$P$19</definedName>
    <definedName name="_xlnm.Print_Area" localSheetId="2">'таблица 3 '!$A$1:$T$37</definedName>
    <definedName name="_xlnm.Print_Area" localSheetId="3">'таблица 4'!$A$1:$P$64</definedName>
    <definedName name="_xlnm.Print_Area" localSheetId="4">'таблица 5  '!$A$1:$K$28</definedName>
    <definedName name="_xlnm.Print_Area" localSheetId="5">'таблица 6'!$A$1:$F$33</definedName>
    <definedName name="_xlnm.Print_Area" localSheetId="6">'таблица 7'!$A$1:$G$13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2" i="15" l="1"/>
  <c r="P33" i="15"/>
  <c r="P34" i="15"/>
  <c r="N34" i="15"/>
  <c r="N33" i="15"/>
  <c r="N32" i="15"/>
  <c r="N31" i="15"/>
  <c r="I42" i="24"/>
  <c r="M196" i="24" l="1"/>
  <c r="L196" i="24"/>
  <c r="K196" i="24"/>
  <c r="J196" i="24"/>
  <c r="I195" i="24"/>
  <c r="H195" i="24"/>
  <c r="M194" i="24"/>
  <c r="L194" i="24"/>
  <c r="K194" i="24"/>
  <c r="J194" i="24"/>
  <c r="I194" i="24"/>
  <c r="H194" i="24"/>
  <c r="M193" i="24"/>
  <c r="L193" i="24"/>
  <c r="K193" i="24"/>
  <c r="J193" i="24"/>
  <c r="I193" i="24"/>
  <c r="H193" i="24"/>
  <c r="M192" i="24"/>
  <c r="L192" i="24"/>
  <c r="K192" i="24"/>
  <c r="J192" i="24"/>
  <c r="I192" i="24"/>
  <c r="H192" i="24"/>
  <c r="M191" i="24"/>
  <c r="L191" i="24"/>
  <c r="K191" i="24"/>
  <c r="J191" i="24"/>
  <c r="I191" i="24"/>
  <c r="H191" i="24"/>
  <c r="G192" i="24"/>
  <c r="G193" i="24"/>
  <c r="G194" i="24"/>
  <c r="G195" i="24"/>
  <c r="G191" i="24"/>
  <c r="H68" i="24"/>
  <c r="I68" i="24"/>
  <c r="H69" i="24"/>
  <c r="I69" i="24"/>
  <c r="H71" i="24"/>
  <c r="I71" i="24"/>
  <c r="H72" i="24"/>
  <c r="I72" i="24"/>
  <c r="G69" i="24"/>
  <c r="G71" i="24"/>
  <c r="G72" i="24"/>
  <c r="G68" i="24"/>
  <c r="I39" i="24"/>
  <c r="H14" i="24" l="1"/>
  <c r="H210" i="24" l="1"/>
  <c r="H209" i="24"/>
  <c r="H208" i="24"/>
  <c r="H207" i="24"/>
  <c r="H206" i="24"/>
  <c r="H205" i="24"/>
  <c r="H201" i="24"/>
  <c r="H199" i="24"/>
  <c r="H198" i="24"/>
  <c r="H188" i="24"/>
  <c r="H185" i="24"/>
  <c r="H184" i="24"/>
  <c r="H173" i="24"/>
  <c r="H172" i="24"/>
  <c r="H171" i="24"/>
  <c r="H170" i="24"/>
  <c r="H169" i="24"/>
  <c r="H159" i="24"/>
  <c r="H157" i="24"/>
  <c r="H155" i="24"/>
  <c r="H154" i="24"/>
  <c r="H149" i="24"/>
  <c r="H156" i="24" s="1"/>
  <c r="H139" i="24"/>
  <c r="H137" i="24"/>
  <c r="H136" i="24"/>
  <c r="H135" i="24"/>
  <c r="H133" i="24"/>
  <c r="H132" i="24"/>
  <c r="H124" i="24"/>
  <c r="H120" i="24"/>
  <c r="H117" i="24" s="1"/>
  <c r="H110" i="24"/>
  <c r="H106" i="24"/>
  <c r="H103" i="24" s="1"/>
  <c r="H96" i="24"/>
  <c r="H89" i="24"/>
  <c r="H82" i="24"/>
  <c r="H78" i="24"/>
  <c r="H75" i="24" s="1"/>
  <c r="H165" i="24"/>
  <c r="H63" i="24"/>
  <c r="H60" i="24" s="1"/>
  <c r="H52" i="24"/>
  <c r="H203" i="24" s="1"/>
  <c r="H49" i="24"/>
  <c r="H42" i="24"/>
  <c r="H39" i="24" s="1"/>
  <c r="H32" i="24"/>
  <c r="H31" i="24"/>
  <c r="H24" i="24"/>
  <c r="H21" i="24"/>
  <c r="H70" i="24" s="1"/>
  <c r="H17" i="24"/>
  <c r="H73" i="24" s="1"/>
  <c r="H174" i="24" l="1"/>
  <c r="H196" i="24"/>
  <c r="H190" i="24" s="1"/>
  <c r="H146" i="24"/>
  <c r="H18" i="24"/>
  <c r="H189" i="24"/>
  <c r="H25" i="24"/>
  <c r="H11" i="24"/>
  <c r="H168" i="24"/>
  <c r="H46" i="24"/>
  <c r="H161" i="24"/>
  <c r="H176" i="24" s="1"/>
  <c r="H164" i="24"/>
  <c r="H222" i="24" s="1"/>
  <c r="H153" i="24"/>
  <c r="H204" i="24"/>
  <c r="H223" i="24"/>
  <c r="H232" i="24"/>
  <c r="H162" i="24"/>
  <c r="H134" i="24"/>
  <c r="H186" i="24"/>
  <c r="H166" i="24"/>
  <c r="H200" i="24"/>
  <c r="H197" i="24" s="1"/>
  <c r="H179" i="24" l="1"/>
  <c r="H231" i="24" s="1"/>
  <c r="H219" i="24"/>
  <c r="H163" i="24"/>
  <c r="H178" i="24" s="1"/>
  <c r="H230" i="24" s="1"/>
  <c r="H131" i="24"/>
  <c r="H220" i="24"/>
  <c r="H177" i="24"/>
  <c r="H224" i="24"/>
  <c r="H181" i="24"/>
  <c r="H233" i="24" s="1"/>
  <c r="H67" i="24"/>
  <c r="H228" i="24"/>
  <c r="H183" i="24"/>
  <c r="H160" i="24" l="1"/>
  <c r="H218" i="24" s="1"/>
  <c r="H221" i="24"/>
  <c r="H175" i="24"/>
  <c r="H229" i="24"/>
  <c r="H227" i="24" l="1"/>
  <c r="M10" i="23"/>
  <c r="N10" i="23"/>
  <c r="O10" i="23"/>
  <c r="P10" i="23"/>
  <c r="Q10" i="23"/>
  <c r="H14" i="23"/>
  <c r="H15" i="23"/>
  <c r="H16" i="23"/>
  <c r="I31" i="24" l="1"/>
  <c r="I196" i="24" s="1"/>
  <c r="K210" i="24"/>
  <c r="J210" i="24"/>
  <c r="I210" i="24"/>
  <c r="K209" i="24"/>
  <c r="J209" i="24"/>
  <c r="I209" i="24"/>
  <c r="K208" i="24"/>
  <c r="J208" i="24"/>
  <c r="I208" i="24"/>
  <c r="K207" i="24"/>
  <c r="J207" i="24"/>
  <c r="I207" i="24"/>
  <c r="K206" i="24"/>
  <c r="J206" i="24"/>
  <c r="I206" i="24"/>
  <c r="K205" i="24"/>
  <c r="J205" i="24"/>
  <c r="I205" i="24"/>
  <c r="K201" i="24"/>
  <c r="J201" i="24"/>
  <c r="I201" i="24"/>
  <c r="K199" i="24"/>
  <c r="J199" i="24"/>
  <c r="I199" i="24"/>
  <c r="K198" i="24"/>
  <c r="J198" i="24"/>
  <c r="I198" i="24"/>
  <c r="I188" i="24"/>
  <c r="I185" i="24"/>
  <c r="I184" i="24"/>
  <c r="K174" i="24"/>
  <c r="J174" i="24"/>
  <c r="I173" i="24"/>
  <c r="K172" i="24"/>
  <c r="J172" i="24"/>
  <c r="I172" i="24"/>
  <c r="K171" i="24"/>
  <c r="J171" i="24"/>
  <c r="I171" i="24"/>
  <c r="K170" i="24"/>
  <c r="J170" i="24"/>
  <c r="I170" i="24"/>
  <c r="K169" i="24"/>
  <c r="J169" i="24"/>
  <c r="I169" i="24"/>
  <c r="K159" i="24"/>
  <c r="J159" i="24"/>
  <c r="I159" i="24"/>
  <c r="K157" i="24"/>
  <c r="J157" i="24"/>
  <c r="I157" i="24"/>
  <c r="K156" i="24"/>
  <c r="J156" i="24"/>
  <c r="I156" i="24"/>
  <c r="K155" i="24"/>
  <c r="J155" i="24"/>
  <c r="I155" i="24"/>
  <c r="K154" i="24"/>
  <c r="J154" i="24"/>
  <c r="I154" i="24"/>
  <c r="K146" i="24"/>
  <c r="J146" i="24"/>
  <c r="I146" i="24"/>
  <c r="K139" i="24"/>
  <c r="J139" i="24"/>
  <c r="I139" i="24"/>
  <c r="I137" i="24"/>
  <c r="K136" i="24"/>
  <c r="J136" i="24"/>
  <c r="I136" i="24"/>
  <c r="K135" i="24"/>
  <c r="J135" i="24"/>
  <c r="I135" i="24"/>
  <c r="K134" i="24"/>
  <c r="J134" i="24"/>
  <c r="I133" i="24"/>
  <c r="I132" i="24"/>
  <c r="K124" i="24"/>
  <c r="J124" i="24"/>
  <c r="I124" i="24"/>
  <c r="J123" i="24"/>
  <c r="J117" i="24" s="1"/>
  <c r="K117" i="24"/>
  <c r="I117" i="24"/>
  <c r="K116" i="24"/>
  <c r="K110" i="24" s="1"/>
  <c r="J116" i="24"/>
  <c r="J110" i="24" s="1"/>
  <c r="I110" i="24"/>
  <c r="I106" i="24"/>
  <c r="I134" i="24" s="1"/>
  <c r="J105" i="24"/>
  <c r="K105" i="24" s="1"/>
  <c r="K133" i="24" s="1"/>
  <c r="J104" i="24"/>
  <c r="J132" i="24" s="1"/>
  <c r="K96" i="24"/>
  <c r="J96" i="24"/>
  <c r="I96" i="24"/>
  <c r="K95" i="24"/>
  <c r="K89" i="24" s="1"/>
  <c r="J95" i="24"/>
  <c r="J89" i="24" s="1"/>
  <c r="I89" i="24"/>
  <c r="K82" i="24"/>
  <c r="J82" i="24"/>
  <c r="I82" i="24"/>
  <c r="I75" i="24"/>
  <c r="J81" i="24" s="1"/>
  <c r="J66" i="24"/>
  <c r="J60" i="24" s="1"/>
  <c r="I66" i="24"/>
  <c r="I63" i="24"/>
  <c r="K60" i="24"/>
  <c r="I52" i="24"/>
  <c r="I203" i="24" s="1"/>
  <c r="J51" i="24"/>
  <c r="K51" i="24" s="1"/>
  <c r="J50" i="24"/>
  <c r="K50" i="24" s="1"/>
  <c r="K49" i="24"/>
  <c r="K200" i="24" s="1"/>
  <c r="J49" i="24"/>
  <c r="J200" i="24" s="1"/>
  <c r="I49" i="24"/>
  <c r="I200" i="24" s="1"/>
  <c r="J48" i="24"/>
  <c r="K48" i="24" s="1"/>
  <c r="J47" i="24"/>
  <c r="K47" i="24" s="1"/>
  <c r="J44" i="24"/>
  <c r="K44" i="24" s="1"/>
  <c r="J43" i="24"/>
  <c r="K43" i="24" s="1"/>
  <c r="K42" i="24"/>
  <c r="J42" i="24"/>
  <c r="J70" i="24" s="1"/>
  <c r="J41" i="24"/>
  <c r="J69" i="24" s="1"/>
  <c r="J40" i="24"/>
  <c r="J68" i="24" s="1"/>
  <c r="K32" i="24"/>
  <c r="J32" i="24"/>
  <c r="I32" i="24"/>
  <c r="J30" i="24"/>
  <c r="K25" i="24"/>
  <c r="J25" i="24"/>
  <c r="I24" i="24"/>
  <c r="I73" i="24" s="1"/>
  <c r="J23" i="24"/>
  <c r="K23" i="24" s="1"/>
  <c r="I21" i="24"/>
  <c r="K18" i="24"/>
  <c r="J18" i="24"/>
  <c r="J16" i="24"/>
  <c r="J72" i="24" s="1"/>
  <c r="J15" i="24"/>
  <c r="I11" i="24"/>
  <c r="J17" i="24" s="1"/>
  <c r="K30" i="24" l="1"/>
  <c r="K195" i="24" s="1"/>
  <c r="J195" i="24"/>
  <c r="I70" i="24"/>
  <c r="I163" i="24" s="1"/>
  <c r="I178" i="24" s="1"/>
  <c r="I230" i="24" s="1"/>
  <c r="K70" i="24"/>
  <c r="K15" i="24"/>
  <c r="K71" i="24" s="1"/>
  <c r="J71" i="24"/>
  <c r="J164" i="24" s="1"/>
  <c r="J179" i="24" s="1"/>
  <c r="J231" i="24" s="1"/>
  <c r="I18" i="24"/>
  <c r="J163" i="24"/>
  <c r="J178" i="24" s="1"/>
  <c r="J230" i="24" s="1"/>
  <c r="I46" i="24"/>
  <c r="J52" i="24" s="1"/>
  <c r="J203" i="24" s="1"/>
  <c r="J197" i="24" s="1"/>
  <c r="I60" i="24"/>
  <c r="I162" i="24"/>
  <c r="I220" i="24" s="1"/>
  <c r="I153" i="24"/>
  <c r="J190" i="24"/>
  <c r="J11" i="24"/>
  <c r="K17" i="24" s="1"/>
  <c r="J184" i="24"/>
  <c r="I164" i="24"/>
  <c r="I179" i="24" s="1"/>
  <c r="I103" i="24"/>
  <c r="J109" i="24" s="1"/>
  <c r="J103" i="24" s="1"/>
  <c r="K109" i="24" s="1"/>
  <c r="J168" i="24"/>
  <c r="K204" i="24"/>
  <c r="I204" i="24"/>
  <c r="I165" i="24"/>
  <c r="I232" i="24" s="1"/>
  <c r="J73" i="24"/>
  <c r="K40" i="24"/>
  <c r="K68" i="24" s="1"/>
  <c r="K164" i="24"/>
  <c r="K179" i="24" s="1"/>
  <c r="K231" i="24" s="1"/>
  <c r="K104" i="24"/>
  <c r="K132" i="24" s="1"/>
  <c r="I131" i="24"/>
  <c r="K153" i="24"/>
  <c r="J173" i="24"/>
  <c r="J186" i="24"/>
  <c r="I197" i="24"/>
  <c r="J133" i="24"/>
  <c r="J204" i="24"/>
  <c r="I186" i="24"/>
  <c r="J165" i="24"/>
  <c r="K186" i="24"/>
  <c r="K163" i="24"/>
  <c r="I190" i="24"/>
  <c r="I25" i="24"/>
  <c r="I174" i="24"/>
  <c r="I168" i="24" s="1"/>
  <c r="J185" i="24"/>
  <c r="K41" i="24"/>
  <c r="K69" i="24" s="1"/>
  <c r="K190" i="24"/>
  <c r="K16" i="24"/>
  <c r="J75" i="24"/>
  <c r="K81" i="24" s="1"/>
  <c r="I166" i="24"/>
  <c r="J153" i="24"/>
  <c r="K168" i="24"/>
  <c r="K173" i="24"/>
  <c r="J188" i="24"/>
  <c r="I189" i="24"/>
  <c r="I161" i="24"/>
  <c r="K72" i="24" l="1"/>
  <c r="J222" i="24"/>
  <c r="I231" i="24"/>
  <c r="J221" i="24"/>
  <c r="J162" i="24"/>
  <c r="J177" i="24" s="1"/>
  <c r="J229" i="24" s="1"/>
  <c r="J46" i="24"/>
  <c r="K52" i="24" s="1"/>
  <c r="K203" i="24" s="1"/>
  <c r="K197" i="24" s="1"/>
  <c r="K222" i="24"/>
  <c r="K103" i="24"/>
  <c r="J189" i="24"/>
  <c r="J183" i="24" s="1"/>
  <c r="I183" i="24"/>
  <c r="K184" i="24"/>
  <c r="I223" i="24"/>
  <c r="J137" i="24"/>
  <c r="J131" i="24" s="1"/>
  <c r="I222" i="24"/>
  <c r="I177" i="24"/>
  <c r="I229" i="24" s="1"/>
  <c r="J39" i="24"/>
  <c r="K45" i="24" s="1"/>
  <c r="K161" i="24"/>
  <c r="K178" i="24"/>
  <c r="K230" i="24" s="1"/>
  <c r="K221" i="24"/>
  <c r="J161" i="24"/>
  <c r="K137" i="24"/>
  <c r="K131" i="24" s="1"/>
  <c r="K75" i="24"/>
  <c r="I67" i="24"/>
  <c r="J232" i="24"/>
  <c r="J223" i="24"/>
  <c r="I221" i="24"/>
  <c r="I160" i="24"/>
  <c r="I176" i="24"/>
  <c r="I219" i="24"/>
  <c r="K185" i="24"/>
  <c r="K162" i="24"/>
  <c r="K11" i="24"/>
  <c r="I224" i="24"/>
  <c r="I181" i="24"/>
  <c r="I233" i="24" s="1"/>
  <c r="K165" i="24"/>
  <c r="K188" i="24"/>
  <c r="K189" i="24" l="1"/>
  <c r="K183" i="24" s="1"/>
  <c r="K73" i="24"/>
  <c r="K166" i="24" s="1"/>
  <c r="K160" i="24" s="1"/>
  <c r="J220" i="24"/>
  <c r="K46" i="24"/>
  <c r="J166" i="24"/>
  <c r="J181" i="24" s="1"/>
  <c r="J233" i="24" s="1"/>
  <c r="K39" i="24"/>
  <c r="J67" i="24"/>
  <c r="K232" i="24"/>
  <c r="K223" i="24"/>
  <c r="K177" i="24"/>
  <c r="K229" i="24" s="1"/>
  <c r="K220" i="24"/>
  <c r="I218" i="24"/>
  <c r="J176" i="24"/>
  <c r="J219" i="24"/>
  <c r="I175" i="24"/>
  <c r="I227" i="24" s="1"/>
  <c r="I228" i="24"/>
  <c r="K176" i="24"/>
  <c r="K219" i="24"/>
  <c r="K181" i="24" l="1"/>
  <c r="K175" i="24" s="1"/>
  <c r="K227" i="24" s="1"/>
  <c r="J160" i="24"/>
  <c r="J218" i="24" s="1"/>
  <c r="J224" i="24"/>
  <c r="K224" i="24"/>
  <c r="J175" i="24"/>
  <c r="K67" i="24"/>
  <c r="J228" i="24"/>
  <c r="I234" i="24"/>
  <c r="K218" i="24"/>
  <c r="K228" i="24"/>
  <c r="J234" i="24" l="1"/>
  <c r="J227" i="24"/>
  <c r="K233" i="24"/>
  <c r="K234" i="24"/>
  <c r="J44" i="15" l="1"/>
  <c r="K44" i="15"/>
  <c r="L44" i="15"/>
  <c r="M44" i="15"/>
  <c r="N44" i="15"/>
  <c r="J45" i="15"/>
  <c r="K45" i="15"/>
  <c r="L45" i="15"/>
  <c r="M45" i="15"/>
  <c r="N45" i="15"/>
  <c r="J46" i="15"/>
  <c r="K46" i="15"/>
  <c r="L46" i="15"/>
  <c r="M46" i="15"/>
  <c r="N46" i="15"/>
  <c r="J47" i="15"/>
  <c r="K47" i="15"/>
  <c r="L47" i="15"/>
  <c r="M47" i="15"/>
  <c r="N47" i="15"/>
  <c r="J48" i="15"/>
  <c r="K48" i="15"/>
  <c r="L49" i="15"/>
  <c r="M49" i="15"/>
  <c r="N49" i="15"/>
  <c r="I45" i="15"/>
  <c r="I46" i="15"/>
  <c r="I47" i="15"/>
  <c r="I48" i="15"/>
  <c r="I44" i="15"/>
  <c r="J37" i="15"/>
  <c r="K37" i="15"/>
  <c r="J38" i="15"/>
  <c r="K38" i="15"/>
  <c r="J39" i="15"/>
  <c r="J40" i="15"/>
  <c r="J54" i="15" s="1"/>
  <c r="J61" i="15" s="1"/>
  <c r="K40" i="15"/>
  <c r="J41" i="15"/>
  <c r="K41" i="15"/>
  <c r="J42" i="15"/>
  <c r="I38" i="15"/>
  <c r="I40" i="15"/>
  <c r="I41" i="15"/>
  <c r="I37" i="15"/>
  <c r="O51" i="15"/>
  <c r="P51" i="15"/>
  <c r="P58" i="15" s="1"/>
  <c r="O52" i="15"/>
  <c r="P52" i="15"/>
  <c r="P59" i="15" s="1"/>
  <c r="O53" i="15"/>
  <c r="P53" i="15"/>
  <c r="P60" i="15" s="1"/>
  <c r="O54" i="15"/>
  <c r="P54" i="15"/>
  <c r="P61" i="15" s="1"/>
  <c r="O55" i="15"/>
  <c r="P55" i="15"/>
  <c r="P62" i="15" s="1"/>
  <c r="O56" i="15"/>
  <c r="P56" i="15"/>
  <c r="P63" i="15" s="1"/>
  <c r="O43" i="15"/>
  <c r="P43" i="15"/>
  <c r="O36" i="15"/>
  <c r="P36" i="15"/>
  <c r="O34" i="15"/>
  <c r="O26" i="15"/>
  <c r="O33" i="15" s="1"/>
  <c r="O25" i="15"/>
  <c r="O32" i="15" s="1"/>
  <c r="O24" i="15"/>
  <c r="O31" i="15" s="1"/>
  <c r="O23" i="15"/>
  <c r="O22" i="15"/>
  <c r="O16" i="15"/>
  <c r="O15" i="15"/>
  <c r="P50" i="15" l="1"/>
  <c r="P57" i="15" s="1"/>
  <c r="O30" i="15"/>
  <c r="O59" i="15" s="1"/>
  <c r="I55" i="15"/>
  <c r="I62" i="15" s="1"/>
  <c r="J51" i="15"/>
  <c r="J58" i="15" s="1"/>
  <c r="O63" i="15"/>
  <c r="K51" i="15"/>
  <c r="K58" i="15" s="1"/>
  <c r="J52" i="15"/>
  <c r="J59" i="15" s="1"/>
  <c r="K55" i="15"/>
  <c r="K62" i="15" s="1"/>
  <c r="K52" i="15"/>
  <c r="K59" i="15" s="1"/>
  <c r="O62" i="15"/>
  <c r="O29" i="15"/>
  <c r="O61" i="15"/>
  <c r="O60" i="15"/>
  <c r="I52" i="15"/>
  <c r="I59" i="15" s="1"/>
  <c r="I54" i="15"/>
  <c r="I61" i="15" s="1"/>
  <c r="K54" i="15"/>
  <c r="K61" i="15" s="1"/>
  <c r="J53" i="15"/>
  <c r="J60" i="15" s="1"/>
  <c r="J36" i="15"/>
  <c r="H46" i="15"/>
  <c r="J55" i="15"/>
  <c r="J62" i="15" s="1"/>
  <c r="H44" i="15"/>
  <c r="I51" i="15"/>
  <c r="I58" i="15" s="1"/>
  <c r="O50" i="15"/>
  <c r="H47" i="15"/>
  <c r="H45" i="15"/>
  <c r="L13" i="23"/>
  <c r="L10" i="23" s="1"/>
  <c r="O28" i="15" l="1"/>
  <c r="O57" i="15" s="1"/>
  <c r="O58" i="15"/>
  <c r="I31" i="23" l="1"/>
  <c r="J31" i="23"/>
  <c r="K13" i="23"/>
  <c r="K10" i="23" l="1"/>
  <c r="I33" i="23" l="1"/>
  <c r="M210" i="24"/>
  <c r="L210" i="24"/>
  <c r="N210" i="24" s="1"/>
  <c r="O210" i="24" s="1"/>
  <c r="P210" i="24" s="1"/>
  <c r="Q210" i="24" s="1"/>
  <c r="R210" i="24" s="1"/>
  <c r="S210" i="24" s="1"/>
  <c r="G210" i="24"/>
  <c r="M209" i="24"/>
  <c r="L209" i="24"/>
  <c r="N209" i="24" s="1"/>
  <c r="O209" i="24" s="1"/>
  <c r="P209" i="24" s="1"/>
  <c r="Q209" i="24" s="1"/>
  <c r="R209" i="24" s="1"/>
  <c r="S209" i="24" s="1"/>
  <c r="G209" i="24"/>
  <c r="M208" i="24"/>
  <c r="L208" i="24"/>
  <c r="N208" i="24" s="1"/>
  <c r="O208" i="24" s="1"/>
  <c r="P208" i="24" s="1"/>
  <c r="Q208" i="24" s="1"/>
  <c r="R208" i="24" s="1"/>
  <c r="S208" i="24" s="1"/>
  <c r="G208" i="24"/>
  <c r="M207" i="24"/>
  <c r="L207" i="24"/>
  <c r="N207" i="24" s="1"/>
  <c r="O207" i="24" s="1"/>
  <c r="P207" i="24" s="1"/>
  <c r="Q207" i="24" s="1"/>
  <c r="R207" i="24" s="1"/>
  <c r="S207" i="24" s="1"/>
  <c r="G207" i="24"/>
  <c r="M206" i="24"/>
  <c r="L206" i="24"/>
  <c r="M205" i="24"/>
  <c r="L205" i="24"/>
  <c r="N205" i="24" s="1"/>
  <c r="O205" i="24" s="1"/>
  <c r="P205" i="24" s="1"/>
  <c r="Q205" i="24" s="1"/>
  <c r="R205" i="24" s="1"/>
  <c r="S205" i="24" s="1"/>
  <c r="G205" i="24"/>
  <c r="N202" i="24"/>
  <c r="O202" i="24" s="1"/>
  <c r="P202" i="24" s="1"/>
  <c r="Q202" i="24" s="1"/>
  <c r="R202" i="24" s="1"/>
  <c r="S202" i="24" s="1"/>
  <c r="F202" i="24"/>
  <c r="M201" i="24"/>
  <c r="L201" i="24"/>
  <c r="G201" i="24"/>
  <c r="L200" i="24"/>
  <c r="N200" i="24" s="1"/>
  <c r="O200" i="24" s="1"/>
  <c r="P200" i="24" s="1"/>
  <c r="Q200" i="24" s="1"/>
  <c r="R200" i="24" s="1"/>
  <c r="S200" i="24" s="1"/>
  <c r="M199" i="24"/>
  <c r="L199" i="24"/>
  <c r="N199" i="24" s="1"/>
  <c r="O199" i="24" s="1"/>
  <c r="P199" i="24" s="1"/>
  <c r="Q199" i="24" s="1"/>
  <c r="R199" i="24" s="1"/>
  <c r="S199" i="24" s="1"/>
  <c r="G199" i="24"/>
  <c r="M198" i="24"/>
  <c r="L198" i="24"/>
  <c r="N198" i="24" s="1"/>
  <c r="G198" i="24"/>
  <c r="G188" i="24"/>
  <c r="N187" i="24"/>
  <c r="O187" i="24" s="1"/>
  <c r="P187" i="24" s="1"/>
  <c r="Q187" i="24" s="1"/>
  <c r="R187" i="24" s="1"/>
  <c r="S187" i="24" s="1"/>
  <c r="G187" i="24"/>
  <c r="F187" i="24" s="1"/>
  <c r="M185" i="24"/>
  <c r="L185" i="24"/>
  <c r="N185" i="24" s="1"/>
  <c r="O185" i="24" s="1"/>
  <c r="P185" i="24" s="1"/>
  <c r="Q185" i="24" s="1"/>
  <c r="R185" i="24" s="1"/>
  <c r="S185" i="24" s="1"/>
  <c r="G184" i="24"/>
  <c r="F180" i="24"/>
  <c r="M174" i="24"/>
  <c r="L174" i="24"/>
  <c r="G173" i="24"/>
  <c r="M172" i="24"/>
  <c r="L172" i="24"/>
  <c r="G172" i="24"/>
  <c r="M171" i="24"/>
  <c r="L171" i="24"/>
  <c r="G171" i="24"/>
  <c r="M170" i="24"/>
  <c r="L170" i="24"/>
  <c r="G170" i="24"/>
  <c r="M169" i="24"/>
  <c r="L169" i="24"/>
  <c r="G169" i="24"/>
  <c r="L159" i="24"/>
  <c r="N159" i="24" s="1"/>
  <c r="G159" i="24"/>
  <c r="N158" i="24"/>
  <c r="M158" i="24" s="1"/>
  <c r="F158" i="24" s="1"/>
  <c r="L157" i="24"/>
  <c r="N157" i="24" s="1"/>
  <c r="G157" i="24"/>
  <c r="G156" i="24"/>
  <c r="L155" i="24"/>
  <c r="N155" i="24" s="1"/>
  <c r="G155" i="24"/>
  <c r="L154" i="24"/>
  <c r="N154" i="24" s="1"/>
  <c r="G154" i="24"/>
  <c r="N152" i="24"/>
  <c r="O152" i="24" s="1"/>
  <c r="P152" i="24" s="1"/>
  <c r="Q152" i="24" s="1"/>
  <c r="R152" i="24" s="1"/>
  <c r="S152" i="24" s="1"/>
  <c r="F152" i="24"/>
  <c r="N151" i="24"/>
  <c r="O151" i="24" s="1"/>
  <c r="P151" i="24" s="1"/>
  <c r="Q151" i="24" s="1"/>
  <c r="R151" i="24" s="1"/>
  <c r="S151" i="24" s="1"/>
  <c r="F151" i="24"/>
  <c r="N150" i="24"/>
  <c r="O150" i="24" s="1"/>
  <c r="P150" i="24" s="1"/>
  <c r="F150" i="24"/>
  <c r="N148" i="24"/>
  <c r="O148" i="24" s="1"/>
  <c r="P148" i="24" s="1"/>
  <c r="Q148" i="24" s="1"/>
  <c r="R148" i="24" s="1"/>
  <c r="S148" i="24" s="1"/>
  <c r="F148" i="24"/>
  <c r="N147" i="24"/>
  <c r="O147" i="24" s="1"/>
  <c r="F147" i="24"/>
  <c r="G146" i="24"/>
  <c r="N145" i="24"/>
  <c r="O145" i="24" s="1"/>
  <c r="F145" i="24"/>
  <c r="N144" i="24"/>
  <c r="O144" i="24" s="1"/>
  <c r="P144" i="24" s="1"/>
  <c r="Q144" i="24" s="1"/>
  <c r="R144" i="24" s="1"/>
  <c r="S144" i="24" s="1"/>
  <c r="F144" i="24"/>
  <c r="N143" i="24"/>
  <c r="O143" i="24" s="1"/>
  <c r="F143" i="24"/>
  <c r="N141" i="24"/>
  <c r="O141" i="24" s="1"/>
  <c r="F141" i="24"/>
  <c r="N140" i="24"/>
  <c r="O140" i="24" s="1"/>
  <c r="F140" i="24"/>
  <c r="G139" i="24"/>
  <c r="M136" i="24"/>
  <c r="L136" i="24"/>
  <c r="G136" i="24"/>
  <c r="M135" i="24"/>
  <c r="L135" i="24"/>
  <c r="G135" i="24"/>
  <c r="G132" i="24"/>
  <c r="N130" i="24"/>
  <c r="O130" i="24" s="1"/>
  <c r="P130" i="24" s="1"/>
  <c r="Q130" i="24" s="1"/>
  <c r="R130" i="24" s="1"/>
  <c r="S130" i="24" s="1"/>
  <c r="N129" i="24"/>
  <c r="O129" i="24" s="1"/>
  <c r="P129" i="24" s="1"/>
  <c r="Q129" i="24" s="1"/>
  <c r="R129" i="24" s="1"/>
  <c r="S129" i="24" s="1"/>
  <c r="F129" i="24"/>
  <c r="N128" i="24"/>
  <c r="O128" i="24" s="1"/>
  <c r="P128" i="24" s="1"/>
  <c r="Q128" i="24" s="1"/>
  <c r="R128" i="24" s="1"/>
  <c r="S128" i="24" s="1"/>
  <c r="F128" i="24"/>
  <c r="N127" i="24"/>
  <c r="O127" i="24" s="1"/>
  <c r="P127" i="24" s="1"/>
  <c r="Q127" i="24" s="1"/>
  <c r="R127" i="24" s="1"/>
  <c r="S127" i="24" s="1"/>
  <c r="N126" i="24"/>
  <c r="O126" i="24" s="1"/>
  <c r="P126" i="24" s="1"/>
  <c r="Q126" i="24" s="1"/>
  <c r="R126" i="24" s="1"/>
  <c r="S126" i="24" s="1"/>
  <c r="F126" i="24"/>
  <c r="N125" i="24"/>
  <c r="O125" i="24" s="1"/>
  <c r="P125" i="24" s="1"/>
  <c r="F125" i="24"/>
  <c r="M124" i="24"/>
  <c r="L124" i="24"/>
  <c r="G124" i="24"/>
  <c r="N123" i="24"/>
  <c r="O123" i="24" s="1"/>
  <c r="P123" i="24" s="1"/>
  <c r="Q123" i="24" s="1"/>
  <c r="R123" i="24" s="1"/>
  <c r="S123" i="24" s="1"/>
  <c r="G123" i="24"/>
  <c r="N122" i="24"/>
  <c r="O122" i="24" s="1"/>
  <c r="P122" i="24" s="1"/>
  <c r="Q122" i="24" s="1"/>
  <c r="R122" i="24" s="1"/>
  <c r="S122" i="24" s="1"/>
  <c r="F122" i="24"/>
  <c r="N121" i="24"/>
  <c r="O121" i="24" s="1"/>
  <c r="P121" i="24" s="1"/>
  <c r="Q121" i="24" s="1"/>
  <c r="R121" i="24" s="1"/>
  <c r="S121" i="24" s="1"/>
  <c r="F121" i="24"/>
  <c r="N120" i="24"/>
  <c r="O120" i="24" s="1"/>
  <c r="P120" i="24" s="1"/>
  <c r="Q120" i="24" s="1"/>
  <c r="R120" i="24" s="1"/>
  <c r="S120" i="24" s="1"/>
  <c r="F120" i="24"/>
  <c r="N119" i="24"/>
  <c r="O119" i="24" s="1"/>
  <c r="P119" i="24" s="1"/>
  <c r="Q119" i="24" s="1"/>
  <c r="R119" i="24" s="1"/>
  <c r="S119" i="24" s="1"/>
  <c r="F119" i="24"/>
  <c r="N118" i="24"/>
  <c r="O118" i="24" s="1"/>
  <c r="F118" i="24"/>
  <c r="M117" i="24"/>
  <c r="L117" i="24"/>
  <c r="L116" i="24"/>
  <c r="N116" i="24" s="1"/>
  <c r="O116" i="24" s="1"/>
  <c r="P116" i="24" s="1"/>
  <c r="Q116" i="24" s="1"/>
  <c r="R116" i="24" s="1"/>
  <c r="S116" i="24" s="1"/>
  <c r="G116" i="24"/>
  <c r="G110" i="24" s="1"/>
  <c r="N115" i="24"/>
  <c r="O115" i="24" s="1"/>
  <c r="P115" i="24" s="1"/>
  <c r="Q115" i="24" s="1"/>
  <c r="R115" i="24" s="1"/>
  <c r="S115" i="24" s="1"/>
  <c r="F115" i="24"/>
  <c r="N114" i="24"/>
  <c r="F114" i="24"/>
  <c r="N113" i="24"/>
  <c r="O113" i="24" s="1"/>
  <c r="P113" i="24" s="1"/>
  <c r="Q113" i="24" s="1"/>
  <c r="R113" i="24" s="1"/>
  <c r="S113" i="24" s="1"/>
  <c r="F113" i="24"/>
  <c r="N112" i="24"/>
  <c r="O112" i="24" s="1"/>
  <c r="P112" i="24" s="1"/>
  <c r="Q112" i="24" s="1"/>
  <c r="R112" i="24" s="1"/>
  <c r="S112" i="24" s="1"/>
  <c r="F112" i="24"/>
  <c r="N111" i="24"/>
  <c r="O111" i="24" s="1"/>
  <c r="F111" i="24"/>
  <c r="G109" i="24"/>
  <c r="G103" i="24" s="1"/>
  <c r="N108" i="24"/>
  <c r="O108" i="24" s="1"/>
  <c r="P108" i="24" s="1"/>
  <c r="Q108" i="24" s="1"/>
  <c r="R108" i="24" s="1"/>
  <c r="S108" i="24" s="1"/>
  <c r="F108" i="24"/>
  <c r="N107" i="24"/>
  <c r="O107" i="24" s="1"/>
  <c r="P107" i="24" s="1"/>
  <c r="Q107" i="24" s="1"/>
  <c r="R107" i="24" s="1"/>
  <c r="S107" i="24" s="1"/>
  <c r="F107" i="24"/>
  <c r="N102" i="24"/>
  <c r="O102" i="24" s="1"/>
  <c r="P102" i="24" s="1"/>
  <c r="Q102" i="24" s="1"/>
  <c r="R102" i="24" s="1"/>
  <c r="S102" i="24" s="1"/>
  <c r="F102" i="24"/>
  <c r="N101" i="24"/>
  <c r="O101" i="24" s="1"/>
  <c r="P101" i="24" s="1"/>
  <c r="Q101" i="24" s="1"/>
  <c r="R101" i="24" s="1"/>
  <c r="S101" i="24" s="1"/>
  <c r="F101" i="24"/>
  <c r="N100" i="24"/>
  <c r="O100" i="24" s="1"/>
  <c r="P100" i="24" s="1"/>
  <c r="Q100" i="24" s="1"/>
  <c r="R100" i="24" s="1"/>
  <c r="S100" i="24" s="1"/>
  <c r="F100" i="24"/>
  <c r="N99" i="24"/>
  <c r="O99" i="24" s="1"/>
  <c r="P99" i="24" s="1"/>
  <c r="Q99" i="24" s="1"/>
  <c r="R99" i="24" s="1"/>
  <c r="S99" i="24" s="1"/>
  <c r="F99" i="24"/>
  <c r="N98" i="24"/>
  <c r="O98" i="24" s="1"/>
  <c r="P98" i="24" s="1"/>
  <c r="Q98" i="24" s="1"/>
  <c r="R98" i="24" s="1"/>
  <c r="S98" i="24" s="1"/>
  <c r="G98" i="24"/>
  <c r="G206" i="24" s="1"/>
  <c r="N97" i="24"/>
  <c r="F97" i="24"/>
  <c r="M96" i="24"/>
  <c r="L96" i="24"/>
  <c r="N95" i="24"/>
  <c r="O95" i="24" s="1"/>
  <c r="P95" i="24" s="1"/>
  <c r="Q95" i="24" s="1"/>
  <c r="R95" i="24" s="1"/>
  <c r="S95" i="24" s="1"/>
  <c r="G95" i="24"/>
  <c r="N94" i="24"/>
  <c r="O94" i="24" s="1"/>
  <c r="P94" i="24" s="1"/>
  <c r="Q94" i="24" s="1"/>
  <c r="R94" i="24" s="1"/>
  <c r="S94" i="24" s="1"/>
  <c r="F94" i="24"/>
  <c r="N93" i="24"/>
  <c r="O93" i="24" s="1"/>
  <c r="P93" i="24" s="1"/>
  <c r="Q93" i="24" s="1"/>
  <c r="R93" i="24" s="1"/>
  <c r="S93" i="24" s="1"/>
  <c r="F93" i="24"/>
  <c r="N92" i="24"/>
  <c r="O92" i="24" s="1"/>
  <c r="P92" i="24" s="1"/>
  <c r="Q92" i="24" s="1"/>
  <c r="R92" i="24" s="1"/>
  <c r="S92" i="24" s="1"/>
  <c r="G92" i="24"/>
  <c r="F92" i="24" s="1"/>
  <c r="N91" i="24"/>
  <c r="O91" i="24" s="1"/>
  <c r="G91" i="24"/>
  <c r="F91" i="24" s="1"/>
  <c r="N90" i="24"/>
  <c r="O90" i="24" s="1"/>
  <c r="P90" i="24" s="1"/>
  <c r="Q90" i="24" s="1"/>
  <c r="F90" i="24"/>
  <c r="L89" i="24"/>
  <c r="L88" i="24"/>
  <c r="N88" i="24" s="1"/>
  <c r="O88" i="24" s="1"/>
  <c r="P88" i="24" s="1"/>
  <c r="Q88" i="24" s="1"/>
  <c r="R88" i="24" s="1"/>
  <c r="S88" i="24" s="1"/>
  <c r="L87" i="24"/>
  <c r="N87" i="24" s="1"/>
  <c r="L86" i="24"/>
  <c r="N86" i="24" s="1"/>
  <c r="O86" i="24" s="1"/>
  <c r="P86" i="24" s="1"/>
  <c r="Q86" i="24" s="1"/>
  <c r="R86" i="24" s="1"/>
  <c r="S86" i="24" s="1"/>
  <c r="L85" i="24"/>
  <c r="N85" i="24" s="1"/>
  <c r="O85" i="24" s="1"/>
  <c r="P85" i="24" s="1"/>
  <c r="Q85" i="24" s="1"/>
  <c r="R85" i="24" s="1"/>
  <c r="S85" i="24" s="1"/>
  <c r="L84" i="24"/>
  <c r="N84" i="24" s="1"/>
  <c r="O84" i="24" s="1"/>
  <c r="P84" i="24" s="1"/>
  <c r="Q84" i="24" s="1"/>
  <c r="R84" i="24" s="1"/>
  <c r="S84" i="24" s="1"/>
  <c r="G82" i="24"/>
  <c r="G81" i="24"/>
  <c r="G75" i="24" s="1"/>
  <c r="N80" i="24"/>
  <c r="F80" i="24"/>
  <c r="N79" i="24"/>
  <c r="O79" i="24" s="1"/>
  <c r="F79" i="24"/>
  <c r="N77" i="24"/>
  <c r="O77" i="24" s="1"/>
  <c r="P77" i="24" s="1"/>
  <c r="Q77" i="24" s="1"/>
  <c r="R77" i="24" s="1"/>
  <c r="F77" i="24"/>
  <c r="N76" i="24"/>
  <c r="O76" i="24" s="1"/>
  <c r="P76" i="24" s="1"/>
  <c r="F76" i="24"/>
  <c r="N66" i="24"/>
  <c r="G66" i="24"/>
  <c r="N65" i="24"/>
  <c r="O65" i="24" s="1"/>
  <c r="P65" i="24" s="1"/>
  <c r="Q65" i="24" s="1"/>
  <c r="R65" i="24" s="1"/>
  <c r="S65" i="24" s="1"/>
  <c r="F65" i="24"/>
  <c r="N64" i="24"/>
  <c r="O64" i="24" s="1"/>
  <c r="P64" i="24" s="1"/>
  <c r="Q64" i="24" s="1"/>
  <c r="R64" i="24" s="1"/>
  <c r="S64" i="24" s="1"/>
  <c r="F64" i="24"/>
  <c r="N63" i="24"/>
  <c r="N62" i="24"/>
  <c r="O62" i="24" s="1"/>
  <c r="P62" i="24" s="1"/>
  <c r="Q62" i="24" s="1"/>
  <c r="R62" i="24" s="1"/>
  <c r="S62" i="24" s="1"/>
  <c r="F62" i="24"/>
  <c r="N61" i="24"/>
  <c r="O61" i="24" s="1"/>
  <c r="F61" i="24"/>
  <c r="L60" i="24"/>
  <c r="G52" i="24"/>
  <c r="N50" i="24"/>
  <c r="N49" i="24"/>
  <c r="O49" i="24" s="1"/>
  <c r="P49" i="24" s="1"/>
  <c r="Q49" i="24" s="1"/>
  <c r="R49" i="24" s="1"/>
  <c r="S49" i="24" s="1"/>
  <c r="G49" i="24"/>
  <c r="G200" i="24" s="1"/>
  <c r="L48" i="24"/>
  <c r="N48" i="24" s="1"/>
  <c r="G45" i="24"/>
  <c r="L44" i="24"/>
  <c r="N44" i="24" s="1"/>
  <c r="L43" i="24"/>
  <c r="N43" i="24" s="1"/>
  <c r="L39" i="15"/>
  <c r="L53" i="15" s="1"/>
  <c r="L60" i="15" s="1"/>
  <c r="G42" i="24"/>
  <c r="L37" i="15"/>
  <c r="N38" i="24"/>
  <c r="O38" i="24" s="1"/>
  <c r="P38" i="24" s="1"/>
  <c r="Q38" i="24" s="1"/>
  <c r="R38" i="24" s="1"/>
  <c r="S38" i="24" s="1"/>
  <c r="G38" i="24"/>
  <c r="F38" i="24" s="1"/>
  <c r="N37" i="24"/>
  <c r="O37" i="24" s="1"/>
  <c r="P37" i="24" s="1"/>
  <c r="Q37" i="24" s="1"/>
  <c r="R37" i="24" s="1"/>
  <c r="S37" i="24" s="1"/>
  <c r="F37" i="24"/>
  <c r="N36" i="24"/>
  <c r="O36" i="24" s="1"/>
  <c r="P36" i="24" s="1"/>
  <c r="Q36" i="24" s="1"/>
  <c r="R36" i="24" s="1"/>
  <c r="S36" i="24" s="1"/>
  <c r="F36" i="24"/>
  <c r="N35" i="24"/>
  <c r="O35" i="24" s="1"/>
  <c r="P35" i="24" s="1"/>
  <c r="Q35" i="24" s="1"/>
  <c r="R35" i="24" s="1"/>
  <c r="S35" i="24" s="1"/>
  <c r="G35" i="24"/>
  <c r="F35" i="24" s="1"/>
  <c r="N34" i="24"/>
  <c r="F34" i="24"/>
  <c r="N33" i="24"/>
  <c r="O33" i="24" s="1"/>
  <c r="P33" i="24" s="1"/>
  <c r="Q33" i="24" s="1"/>
  <c r="F33" i="24"/>
  <c r="M32" i="24"/>
  <c r="L32" i="24"/>
  <c r="N31" i="24"/>
  <c r="G31" i="24"/>
  <c r="N29" i="24"/>
  <c r="N172" i="24" s="1"/>
  <c r="F29" i="24"/>
  <c r="N28" i="24"/>
  <c r="F28" i="24"/>
  <c r="N27" i="24"/>
  <c r="N170" i="24" s="1"/>
  <c r="F27" i="24"/>
  <c r="N26" i="24"/>
  <c r="F26" i="24"/>
  <c r="M25" i="24"/>
  <c r="L25" i="24"/>
  <c r="N24" i="24"/>
  <c r="O24" i="24" s="1"/>
  <c r="G24" i="24"/>
  <c r="L48" i="15"/>
  <c r="N22" i="24"/>
  <c r="O22" i="24" s="1"/>
  <c r="P22" i="24" s="1"/>
  <c r="Q22" i="24" s="1"/>
  <c r="R22" i="24" s="1"/>
  <c r="S22" i="24" s="1"/>
  <c r="F22" i="24"/>
  <c r="N21" i="24"/>
  <c r="O21" i="24" s="1"/>
  <c r="P21" i="24" s="1"/>
  <c r="Q21" i="24" s="1"/>
  <c r="R21" i="24" s="1"/>
  <c r="S21" i="24" s="1"/>
  <c r="F21" i="24"/>
  <c r="N20" i="24"/>
  <c r="O20" i="24" s="1"/>
  <c r="P20" i="24" s="1"/>
  <c r="Q20" i="24" s="1"/>
  <c r="R20" i="24" s="1"/>
  <c r="S20" i="24" s="1"/>
  <c r="F20" i="24"/>
  <c r="N19" i="24"/>
  <c r="O19" i="24" s="1"/>
  <c r="F19" i="24"/>
  <c r="L18" i="24"/>
  <c r="G17" i="24"/>
  <c r="N14" i="24"/>
  <c r="G14" i="24"/>
  <c r="G70" i="24" s="1"/>
  <c r="N13" i="24"/>
  <c r="F13" i="24"/>
  <c r="N12" i="24"/>
  <c r="F12" i="24"/>
  <c r="O12" i="24" l="1"/>
  <c r="O14" i="24"/>
  <c r="G25" i="24"/>
  <c r="G196" i="24"/>
  <c r="G73" i="24"/>
  <c r="O50" i="24"/>
  <c r="G96" i="24"/>
  <c r="G32" i="24"/>
  <c r="N191" i="24"/>
  <c r="N96" i="24"/>
  <c r="G164" i="24"/>
  <c r="G222" i="24" s="1"/>
  <c r="L23" i="24"/>
  <c r="I49" i="15"/>
  <c r="I43" i="15" s="1"/>
  <c r="N136" i="24"/>
  <c r="O97" i="24"/>
  <c r="O96" i="24" s="1"/>
  <c r="L110" i="24"/>
  <c r="F207" i="24"/>
  <c r="F205" i="24"/>
  <c r="K42" i="15"/>
  <c r="L43" i="15"/>
  <c r="L51" i="15"/>
  <c r="L58" i="15" s="1"/>
  <c r="L40" i="15"/>
  <c r="G89" i="24"/>
  <c r="J49" i="15"/>
  <c r="L38" i="15"/>
  <c r="K39" i="15"/>
  <c r="L41" i="15"/>
  <c r="K49" i="15"/>
  <c r="K43" i="15" s="1"/>
  <c r="I39" i="15"/>
  <c r="I42" i="15"/>
  <c r="O27" i="24"/>
  <c r="P27" i="24" s="1"/>
  <c r="Q27" i="24" s="1"/>
  <c r="Q192" i="24" s="1"/>
  <c r="M38" i="15"/>
  <c r="M52" i="15" s="1"/>
  <c r="M59" i="15" s="1"/>
  <c r="O89" i="24"/>
  <c r="L168" i="24"/>
  <c r="F194" i="24"/>
  <c r="F31" i="24"/>
  <c r="F169" i="24"/>
  <c r="O26" i="24"/>
  <c r="P26" i="24" s="1"/>
  <c r="F124" i="24"/>
  <c r="F192" i="24"/>
  <c r="F198" i="24"/>
  <c r="P24" i="24"/>
  <c r="Q24" i="24" s="1"/>
  <c r="R24" i="24" s="1"/>
  <c r="S24" i="24" s="1"/>
  <c r="O44" i="24"/>
  <c r="P44" i="24" s="1"/>
  <c r="Q44" i="24" s="1"/>
  <c r="R44" i="24" s="1"/>
  <c r="S44" i="24" s="1"/>
  <c r="G186" i="24"/>
  <c r="L16" i="24"/>
  <c r="N135" i="24"/>
  <c r="O80" i="24"/>
  <c r="P80" i="24" s="1"/>
  <c r="P136" i="24" s="1"/>
  <c r="P91" i="24"/>
  <c r="P89" i="24" s="1"/>
  <c r="L105" i="24"/>
  <c r="N192" i="24"/>
  <c r="N194" i="24"/>
  <c r="G11" i="24"/>
  <c r="N18" i="24"/>
  <c r="O29" i="24"/>
  <c r="O194" i="24" s="1"/>
  <c r="F32" i="24"/>
  <c r="O63" i="24"/>
  <c r="P63" i="24" s="1"/>
  <c r="Q63" i="24" s="1"/>
  <c r="R63" i="24" s="1"/>
  <c r="S63" i="24" s="1"/>
  <c r="M88" i="24"/>
  <c r="F88" i="24" s="1"/>
  <c r="M168" i="24"/>
  <c r="F209" i="24"/>
  <c r="F98" i="24"/>
  <c r="F96" i="24" s="1"/>
  <c r="N169" i="24"/>
  <c r="F171" i="24"/>
  <c r="P12" i="24"/>
  <c r="R33" i="24"/>
  <c r="G203" i="24"/>
  <c r="G46" i="24"/>
  <c r="G161" i="24"/>
  <c r="Q76" i="24"/>
  <c r="P79" i="24"/>
  <c r="P143" i="24"/>
  <c r="Q143" i="24" s="1"/>
  <c r="R143" i="24" s="1"/>
  <c r="S143" i="24" s="1"/>
  <c r="O157" i="24"/>
  <c r="Q150" i="24"/>
  <c r="P19" i="24"/>
  <c r="O18" i="24"/>
  <c r="O66" i="24"/>
  <c r="P66" i="24" s="1"/>
  <c r="Q66" i="24" s="1"/>
  <c r="R66" i="24" s="1"/>
  <c r="S66" i="24" s="1"/>
  <c r="N60" i="24"/>
  <c r="R90" i="24"/>
  <c r="F206" i="24"/>
  <c r="G204" i="24"/>
  <c r="P147" i="24"/>
  <c r="N174" i="24"/>
  <c r="N196" i="24"/>
  <c r="O31" i="24"/>
  <c r="N25" i="24"/>
  <c r="O43" i="24"/>
  <c r="P43" i="24" s="1"/>
  <c r="Q43" i="24" s="1"/>
  <c r="R43" i="24" s="1"/>
  <c r="S43" i="24" s="1"/>
  <c r="G39" i="24"/>
  <c r="G189" i="24"/>
  <c r="O48" i="24"/>
  <c r="P48" i="24" s="1"/>
  <c r="Q48" i="24" s="1"/>
  <c r="R48" i="24" s="1"/>
  <c r="S48" i="24" s="1"/>
  <c r="O155" i="24"/>
  <c r="P141" i="24"/>
  <c r="N206" i="24"/>
  <c r="O206" i="24" s="1"/>
  <c r="P206" i="24" s="1"/>
  <c r="Q206" i="24" s="1"/>
  <c r="R206" i="24" s="1"/>
  <c r="S206" i="24" s="1"/>
  <c r="L204" i="24"/>
  <c r="M39" i="15"/>
  <c r="M53" i="15" s="1"/>
  <c r="M60" i="15" s="1"/>
  <c r="P61" i="24"/>
  <c r="O87" i="24"/>
  <c r="P87" i="24" s="1"/>
  <c r="Q87" i="24" s="1"/>
  <c r="R87" i="24" s="1"/>
  <c r="S87" i="24" s="1"/>
  <c r="L106" i="24"/>
  <c r="N106" i="24" s="1"/>
  <c r="F123" i="24"/>
  <c r="G117" i="24"/>
  <c r="O198" i="24"/>
  <c r="G165" i="24"/>
  <c r="M49" i="24"/>
  <c r="M40" i="15"/>
  <c r="M54" i="15" s="1"/>
  <c r="M61" i="15" s="1"/>
  <c r="O34" i="24"/>
  <c r="N32" i="24"/>
  <c r="L40" i="24"/>
  <c r="L47" i="24"/>
  <c r="S77" i="24"/>
  <c r="Q125" i="24"/>
  <c r="P124" i="24"/>
  <c r="O154" i="24"/>
  <c r="P140" i="24"/>
  <c r="L142" i="24"/>
  <c r="O13" i="24"/>
  <c r="G18" i="24"/>
  <c r="N193" i="24"/>
  <c r="N171" i="24"/>
  <c r="O28" i="24"/>
  <c r="G60" i="24"/>
  <c r="P111" i="24"/>
  <c r="O114" i="24"/>
  <c r="P114" i="24" s="1"/>
  <c r="Q114" i="24" s="1"/>
  <c r="R114" i="24" s="1"/>
  <c r="S114" i="24" s="1"/>
  <c r="N110" i="24"/>
  <c r="O159" i="24"/>
  <c r="P145" i="24"/>
  <c r="L149" i="24"/>
  <c r="G153" i="24"/>
  <c r="M84" i="24"/>
  <c r="F84" i="24" s="1"/>
  <c r="M85" i="24"/>
  <c r="F85" i="24" s="1"/>
  <c r="M86" i="24"/>
  <c r="F86" i="24" s="1"/>
  <c r="M95" i="24"/>
  <c r="M89" i="24" s="1"/>
  <c r="F136" i="24"/>
  <c r="O124" i="24"/>
  <c r="M190" i="24"/>
  <c r="L104" i="24"/>
  <c r="P118" i="24"/>
  <c r="O117" i="24"/>
  <c r="G174" i="24"/>
  <c r="G168" i="24" s="1"/>
  <c r="I47" i="23" s="1"/>
  <c r="G185" i="24"/>
  <c r="F185" i="24" s="1"/>
  <c r="G133" i="24"/>
  <c r="F191" i="24"/>
  <c r="F135" i="24"/>
  <c r="G134" i="24"/>
  <c r="F172" i="24"/>
  <c r="L190" i="24"/>
  <c r="F193" i="24"/>
  <c r="F199" i="24"/>
  <c r="F201" i="24"/>
  <c r="F210" i="24"/>
  <c r="G137" i="24"/>
  <c r="M116" i="24"/>
  <c r="M110" i="24" s="1"/>
  <c r="F170" i="24"/>
  <c r="M204" i="24"/>
  <c r="F208" i="24"/>
  <c r="N89" i="24"/>
  <c r="N16" i="24" l="1"/>
  <c r="L72" i="24"/>
  <c r="P14" i="24"/>
  <c r="L68" i="24"/>
  <c r="P50" i="24"/>
  <c r="G179" i="24"/>
  <c r="G231" i="24" s="1"/>
  <c r="O192" i="24"/>
  <c r="P170" i="24"/>
  <c r="O172" i="24"/>
  <c r="P97" i="24"/>
  <c r="P96" i="24" s="1"/>
  <c r="O191" i="24"/>
  <c r="N190" i="24"/>
  <c r="Q91" i="24"/>
  <c r="Q89" i="24" s="1"/>
  <c r="O169" i="24"/>
  <c r="L41" i="24"/>
  <c r="P29" i="24"/>
  <c r="Q29" i="24" s="1"/>
  <c r="F117" i="24"/>
  <c r="G163" i="24"/>
  <c r="G221" i="24" s="1"/>
  <c r="L188" i="24"/>
  <c r="N188" i="24" s="1"/>
  <c r="O188" i="24" s="1"/>
  <c r="P188" i="24" s="1"/>
  <c r="Q188" i="24" s="1"/>
  <c r="R188" i="24" s="1"/>
  <c r="S188" i="24" s="1"/>
  <c r="H49" i="15"/>
  <c r="N37" i="15"/>
  <c r="N51" i="15" s="1"/>
  <c r="N58" i="15" s="1"/>
  <c r="K56" i="15"/>
  <c r="K63" i="15" s="1"/>
  <c r="F196" i="24"/>
  <c r="O170" i="24"/>
  <c r="P192" i="24"/>
  <c r="O136" i="24"/>
  <c r="Q170" i="24"/>
  <c r="F16" i="24"/>
  <c r="L52" i="15"/>
  <c r="L59" i="15" s="1"/>
  <c r="R27" i="24"/>
  <c r="R192" i="24" s="1"/>
  <c r="P157" i="24"/>
  <c r="Q80" i="24"/>
  <c r="R80" i="24" s="1"/>
  <c r="L30" i="24"/>
  <c r="L195" i="24" s="1"/>
  <c r="M48" i="15"/>
  <c r="G219" i="24"/>
  <c r="M37" i="15"/>
  <c r="I53" i="15"/>
  <c r="I60" i="15" s="1"/>
  <c r="I36" i="15"/>
  <c r="I50" i="15" s="1"/>
  <c r="I57" i="15" s="1"/>
  <c r="K53" i="15"/>
  <c r="K60" i="15" s="1"/>
  <c r="K36" i="15"/>
  <c r="K50" i="15" s="1"/>
  <c r="K57" i="15" s="1"/>
  <c r="G223" i="24"/>
  <c r="G232" i="24"/>
  <c r="I56" i="15"/>
  <c r="I63" i="15" s="1"/>
  <c r="L55" i="15"/>
  <c r="L62" i="15" s="1"/>
  <c r="J43" i="15"/>
  <c r="J50" i="15" s="1"/>
  <c r="J57" i="15" s="1"/>
  <c r="J56" i="15"/>
  <c r="J63" i="15" s="1"/>
  <c r="M41" i="15"/>
  <c r="N23" i="24"/>
  <c r="L54" i="15"/>
  <c r="L61" i="15" s="1"/>
  <c r="M66" i="24"/>
  <c r="F66" i="24" s="1"/>
  <c r="G131" i="24"/>
  <c r="G162" i="24"/>
  <c r="G177" i="24" s="1"/>
  <c r="N168" i="24"/>
  <c r="F174" i="24"/>
  <c r="M63" i="24"/>
  <c r="F63" i="24" s="1"/>
  <c r="G190" i="24"/>
  <c r="M44" i="24"/>
  <c r="F44" i="24" s="1"/>
  <c r="M24" i="24"/>
  <c r="G166" i="24"/>
  <c r="P13" i="24"/>
  <c r="N47" i="24"/>
  <c r="L83" i="24"/>
  <c r="L51" i="24"/>
  <c r="N41" i="15" s="1"/>
  <c r="L78" i="24"/>
  <c r="S33" i="24"/>
  <c r="L109" i="24"/>
  <c r="N109" i="24" s="1"/>
  <c r="Q118" i="24"/>
  <c r="P117" i="24"/>
  <c r="L146" i="24"/>
  <c r="L156" i="24"/>
  <c r="N149" i="24"/>
  <c r="L184" i="24"/>
  <c r="N40" i="24"/>
  <c r="N68" i="24" s="1"/>
  <c r="L15" i="24"/>
  <c r="L42" i="24"/>
  <c r="P155" i="24"/>
  <c r="Q141" i="24"/>
  <c r="O196" i="24"/>
  <c r="O174" i="24"/>
  <c r="P31" i="24"/>
  <c r="P169" i="24"/>
  <c r="P191" i="24"/>
  <c r="Q26" i="24"/>
  <c r="Q111" i="24"/>
  <c r="P110" i="24"/>
  <c r="Q140" i="24"/>
  <c r="P154" i="24"/>
  <c r="N105" i="24"/>
  <c r="L133" i="24"/>
  <c r="M200" i="24"/>
  <c r="F49" i="24"/>
  <c r="O106" i="24"/>
  <c r="P106" i="24" s="1"/>
  <c r="Q106" i="24" s="1"/>
  <c r="R106" i="24" s="1"/>
  <c r="S106" i="24" s="1"/>
  <c r="Q61" i="24"/>
  <c r="P60" i="24"/>
  <c r="Q147" i="24"/>
  <c r="Q79" i="24"/>
  <c r="P135" i="24"/>
  <c r="G176" i="24"/>
  <c r="G228" i="24" s="1"/>
  <c r="G197" i="24"/>
  <c r="O16" i="24"/>
  <c r="Q12" i="24"/>
  <c r="L132" i="24"/>
  <c r="N104" i="24"/>
  <c r="P159" i="24"/>
  <c r="Q145" i="24"/>
  <c r="L42" i="15"/>
  <c r="O193" i="24"/>
  <c r="O171" i="24"/>
  <c r="P28" i="24"/>
  <c r="O25" i="24"/>
  <c r="L139" i="24"/>
  <c r="N142" i="24"/>
  <c r="R125" i="24"/>
  <c r="Q124" i="24"/>
  <c r="P34" i="24"/>
  <c r="O32" i="24"/>
  <c r="P198" i="24"/>
  <c r="S90" i="24"/>
  <c r="P18" i="24"/>
  <c r="Q19" i="24"/>
  <c r="Q157" i="24"/>
  <c r="R150" i="24"/>
  <c r="R76" i="24"/>
  <c r="G183" i="24"/>
  <c r="F95" i="24"/>
  <c r="O135" i="24"/>
  <c r="G67" i="24"/>
  <c r="F116" i="24"/>
  <c r="O110" i="24"/>
  <c r="M87" i="24"/>
  <c r="F87" i="24" s="1"/>
  <c r="O60" i="24"/>
  <c r="M48" i="24"/>
  <c r="F48" i="24" s="1"/>
  <c r="M43" i="24"/>
  <c r="F204" i="24"/>
  <c r="N39" i="15" l="1"/>
  <c r="N53" i="15" s="1"/>
  <c r="N60" i="15" s="1"/>
  <c r="L70" i="24"/>
  <c r="N38" i="15"/>
  <c r="N52" i="15" s="1"/>
  <c r="N59" i="15" s="1"/>
  <c r="L69" i="24"/>
  <c r="L162" i="24" s="1"/>
  <c r="Q14" i="24"/>
  <c r="N40" i="15"/>
  <c r="N54" i="15" s="1"/>
  <c r="N61" i="15" s="1"/>
  <c r="L71" i="24"/>
  <c r="Q50" i="24"/>
  <c r="Q97" i="24"/>
  <c r="Q96" i="24" s="1"/>
  <c r="Q136" i="24"/>
  <c r="P194" i="24"/>
  <c r="R91" i="24"/>
  <c r="R89" i="24" s="1"/>
  <c r="P172" i="24"/>
  <c r="N41" i="24"/>
  <c r="H38" i="15"/>
  <c r="H52" i="15" s="1"/>
  <c r="H59" i="15" s="1"/>
  <c r="F110" i="24"/>
  <c r="F168" i="24"/>
  <c r="G178" i="24"/>
  <c r="G230" i="24" s="1"/>
  <c r="F89" i="24"/>
  <c r="F190" i="24"/>
  <c r="O190" i="24"/>
  <c r="M55" i="15"/>
  <c r="M62" i="15" s="1"/>
  <c r="L81" i="24"/>
  <c r="L75" i="24" s="1"/>
  <c r="S27" i="24"/>
  <c r="S192" i="24" s="1"/>
  <c r="R170" i="24"/>
  <c r="O168" i="24"/>
  <c r="L56" i="15"/>
  <c r="L63" i="15" s="1"/>
  <c r="L36" i="15"/>
  <c r="L50" i="15" s="1"/>
  <c r="L57" i="15" s="1"/>
  <c r="G220" i="24"/>
  <c r="G229" i="24"/>
  <c r="O23" i="24"/>
  <c r="P23" i="24" s="1"/>
  <c r="Q23" i="24" s="1"/>
  <c r="R23" i="24" s="1"/>
  <c r="S23" i="24" s="1"/>
  <c r="N30" i="24"/>
  <c r="N72" i="24" s="1"/>
  <c r="L173" i="24"/>
  <c r="M51" i="15"/>
  <c r="M58" i="15" s="1"/>
  <c r="H37" i="15"/>
  <c r="N48" i="15"/>
  <c r="N43" i="15" s="1"/>
  <c r="G160" i="24"/>
  <c r="G224" i="24"/>
  <c r="M43" i="15"/>
  <c r="H41" i="15"/>
  <c r="H39" i="15"/>
  <c r="H53" i="15" s="1"/>
  <c r="H60" i="15" s="1"/>
  <c r="F60" i="24"/>
  <c r="J47" i="23"/>
  <c r="M106" i="24"/>
  <c r="F106" i="24" s="1"/>
  <c r="M60" i="24"/>
  <c r="M18" i="24"/>
  <c r="F24" i="24"/>
  <c r="Q198" i="24"/>
  <c r="O142" i="24"/>
  <c r="N139" i="24"/>
  <c r="Q110" i="24"/>
  <c r="R111" i="24"/>
  <c r="Q191" i="24"/>
  <c r="Q169" i="24"/>
  <c r="R26" i="24"/>
  <c r="L186" i="24"/>
  <c r="N186" i="24" s="1"/>
  <c r="O186" i="24" s="1"/>
  <c r="P186" i="24" s="1"/>
  <c r="Q186" i="24" s="1"/>
  <c r="R186" i="24" s="1"/>
  <c r="S186" i="24" s="1"/>
  <c r="N42" i="24"/>
  <c r="N70" i="24" s="1"/>
  <c r="N15" i="24"/>
  <c r="N71" i="24" s="1"/>
  <c r="N51" i="24"/>
  <c r="L165" i="24"/>
  <c r="S76" i="24"/>
  <c r="R19" i="24"/>
  <c r="Q18" i="24"/>
  <c r="S125" i="24"/>
  <c r="S124" i="24" s="1"/>
  <c r="R124" i="24"/>
  <c r="P171" i="24"/>
  <c r="P193" i="24"/>
  <c r="Q28" i="24"/>
  <c r="R12" i="24"/>
  <c r="R147" i="24"/>
  <c r="O105" i="24"/>
  <c r="N133" i="24"/>
  <c r="N184" i="24"/>
  <c r="N156" i="24"/>
  <c r="L153" i="24"/>
  <c r="O109" i="24"/>
  <c r="P109" i="24" s="1"/>
  <c r="Q109" i="24" s="1"/>
  <c r="R109" i="24" s="1"/>
  <c r="S109" i="24" s="1"/>
  <c r="N83" i="24"/>
  <c r="L82" i="24"/>
  <c r="O47" i="24"/>
  <c r="F43" i="24"/>
  <c r="R140" i="24"/>
  <c r="Q154" i="24"/>
  <c r="P196" i="24"/>
  <c r="P174" i="24"/>
  <c r="Q31" i="24"/>
  <c r="O40" i="24"/>
  <c r="O68" i="24" s="1"/>
  <c r="O149" i="24"/>
  <c r="N146" i="24"/>
  <c r="R118" i="24"/>
  <c r="Q117" i="24"/>
  <c r="R136" i="24"/>
  <c r="S80" i="24"/>
  <c r="S136" i="24" s="1"/>
  <c r="L134" i="24"/>
  <c r="N78" i="24"/>
  <c r="R157" i="24"/>
  <c r="S150" i="24"/>
  <c r="S157" i="24" s="1"/>
  <c r="Q34" i="24"/>
  <c r="P32" i="24"/>
  <c r="R145" i="24"/>
  <c r="Q159" i="24"/>
  <c r="N103" i="24"/>
  <c r="O104" i="24"/>
  <c r="N132" i="24"/>
  <c r="P16" i="24"/>
  <c r="Q135" i="24"/>
  <c r="R79" i="24"/>
  <c r="Q60" i="24"/>
  <c r="R61" i="24"/>
  <c r="F200" i="24"/>
  <c r="Q155" i="24"/>
  <c r="R141" i="24"/>
  <c r="L161" i="24"/>
  <c r="Q194" i="24"/>
  <c r="Q172" i="24"/>
  <c r="R29" i="24"/>
  <c r="Q13" i="24"/>
  <c r="G181" i="24"/>
  <c r="P25" i="24"/>
  <c r="L17" i="24"/>
  <c r="L103" i="24"/>
  <c r="F15" i="24"/>
  <c r="L45" i="24"/>
  <c r="O41" i="24" l="1"/>
  <c r="O69" i="24" s="1"/>
  <c r="N69" i="24"/>
  <c r="R14" i="24"/>
  <c r="R97" i="24"/>
  <c r="H40" i="15"/>
  <c r="H54" i="15" s="1"/>
  <c r="H61" i="15" s="1"/>
  <c r="R50" i="24"/>
  <c r="N45" i="24"/>
  <c r="S91" i="24"/>
  <c r="S89" i="24" s="1"/>
  <c r="G175" i="24"/>
  <c r="S170" i="24"/>
  <c r="N81" i="24"/>
  <c r="O81" i="24" s="1"/>
  <c r="F18" i="24"/>
  <c r="L137" i="24"/>
  <c r="L131" i="24" s="1"/>
  <c r="N39" i="24"/>
  <c r="N55" i="15"/>
  <c r="N62" i="15" s="1"/>
  <c r="M42" i="15"/>
  <c r="M56" i="15" s="1"/>
  <c r="M63" i="15" s="1"/>
  <c r="M23" i="24"/>
  <c r="L232" i="24"/>
  <c r="L223" i="24"/>
  <c r="H51" i="15"/>
  <c r="H58" i="15" s="1"/>
  <c r="G233" i="24"/>
  <c r="L219" i="24"/>
  <c r="L177" i="24"/>
  <c r="L229" i="24" s="1"/>
  <c r="L220" i="24"/>
  <c r="G227" i="24"/>
  <c r="G218" i="24"/>
  <c r="H48" i="15"/>
  <c r="H43" i="15" s="1"/>
  <c r="N173" i="24"/>
  <c r="N195" i="24"/>
  <c r="O30" i="24"/>
  <c r="O72" i="24" s="1"/>
  <c r="N162" i="24"/>
  <c r="N177" i="24" s="1"/>
  <c r="P168" i="24"/>
  <c r="M157" i="24"/>
  <c r="F157" i="24" s="1"/>
  <c r="M109" i="24"/>
  <c r="F109" i="24" s="1"/>
  <c r="P190" i="24"/>
  <c r="L189" i="24"/>
  <c r="L183" i="24" s="1"/>
  <c r="N17" i="24"/>
  <c r="Q16" i="24"/>
  <c r="R34" i="24"/>
  <c r="Q32" i="24"/>
  <c r="P41" i="24"/>
  <c r="P69" i="24" s="1"/>
  <c r="N134" i="24"/>
  <c r="O78" i="24"/>
  <c r="O156" i="24"/>
  <c r="O153" i="24" s="1"/>
  <c r="P149" i="24"/>
  <c r="O146" i="24"/>
  <c r="P47" i="24"/>
  <c r="O83" i="24"/>
  <c r="N82" i="24"/>
  <c r="O184" i="24"/>
  <c r="P105" i="24"/>
  <c r="O133" i="24"/>
  <c r="S12" i="24"/>
  <c r="S19" i="24"/>
  <c r="S18" i="24" s="1"/>
  <c r="R18" i="24"/>
  <c r="L52" i="24"/>
  <c r="N42" i="15" s="1"/>
  <c r="P142" i="24"/>
  <c r="O139" i="24"/>
  <c r="O45" i="24"/>
  <c r="R13" i="24"/>
  <c r="N161" i="24"/>
  <c r="S97" i="24"/>
  <c r="S96" i="24" s="1"/>
  <c r="R96" i="24"/>
  <c r="R154" i="24"/>
  <c r="S140" i="24"/>
  <c r="S147" i="24"/>
  <c r="O42" i="24"/>
  <c r="O70" i="24" s="1"/>
  <c r="R191" i="24"/>
  <c r="R169" i="24"/>
  <c r="S26" i="24"/>
  <c r="L176" i="24"/>
  <c r="L228" i="24" s="1"/>
  <c r="P104" i="24"/>
  <c r="O103" i="24"/>
  <c r="O132" i="24"/>
  <c r="S145" i="24"/>
  <c r="S159" i="24" s="1"/>
  <c r="R159" i="24"/>
  <c r="S118" i="24"/>
  <c r="S117" i="24" s="1"/>
  <c r="R117" i="24"/>
  <c r="P40" i="24"/>
  <c r="P68" i="24" s="1"/>
  <c r="Q196" i="24"/>
  <c r="R31" i="24"/>
  <c r="Q174" i="24"/>
  <c r="N153" i="24"/>
  <c r="Q193" i="24"/>
  <c r="Q190" i="24" s="1"/>
  <c r="Q171" i="24"/>
  <c r="R28" i="24"/>
  <c r="L164" i="24"/>
  <c r="S111" i="24"/>
  <c r="S110" i="24" s="1"/>
  <c r="R110" i="24"/>
  <c r="R172" i="24"/>
  <c r="R194" i="24"/>
  <c r="S29" i="24"/>
  <c r="R155" i="24"/>
  <c r="S141" i="24"/>
  <c r="S155" i="24" s="1"/>
  <c r="S61" i="24"/>
  <c r="S60" i="24" s="1"/>
  <c r="R60" i="24"/>
  <c r="R135" i="24"/>
  <c r="S79" i="24"/>
  <c r="S135" i="24" s="1"/>
  <c r="O51" i="24"/>
  <c r="N164" i="24"/>
  <c r="N179" i="24" s="1"/>
  <c r="O15" i="24"/>
  <c r="O71" i="24" s="1"/>
  <c r="L163" i="24"/>
  <c r="R198" i="24"/>
  <c r="L11" i="24"/>
  <c r="L39" i="24"/>
  <c r="Q25" i="24"/>
  <c r="S14" i="24" l="1"/>
  <c r="L73" i="24"/>
  <c r="S50" i="24"/>
  <c r="P45" i="24"/>
  <c r="N137" i="24"/>
  <c r="N131" i="24" s="1"/>
  <c r="N75" i="24"/>
  <c r="M36" i="15"/>
  <c r="M50" i="15" s="1"/>
  <c r="M57" i="15" s="1"/>
  <c r="F23" i="24"/>
  <c r="M188" i="24"/>
  <c r="F188" i="24" s="1"/>
  <c r="N56" i="15"/>
  <c r="N63" i="15" s="1"/>
  <c r="N36" i="15"/>
  <c r="N50" i="15" s="1"/>
  <c r="N57" i="15" s="1"/>
  <c r="H42" i="15"/>
  <c r="L222" i="24"/>
  <c r="M159" i="24"/>
  <c r="F159" i="24" s="1"/>
  <c r="L221" i="24"/>
  <c r="H55" i="15"/>
  <c r="H62" i="15" s="1"/>
  <c r="P30" i="24"/>
  <c r="P72" i="24" s="1"/>
  <c r="O195" i="24"/>
  <c r="O173" i="24"/>
  <c r="Q168" i="24"/>
  <c r="N163" i="24"/>
  <c r="N178" i="24" s="1"/>
  <c r="M155" i="24"/>
  <c r="F155" i="24" s="1"/>
  <c r="L178" i="24"/>
  <c r="L230" i="24" s="1"/>
  <c r="S191" i="24"/>
  <c r="S169" i="24"/>
  <c r="P42" i="24"/>
  <c r="P70" i="24" s="1"/>
  <c r="S154" i="24"/>
  <c r="M154" i="24" s="1"/>
  <c r="N176" i="24"/>
  <c r="N52" i="24"/>
  <c r="N73" i="24" s="1"/>
  <c r="L203" i="24"/>
  <c r="L46" i="24"/>
  <c r="Q105" i="24"/>
  <c r="P133" i="24"/>
  <c r="Q41" i="24"/>
  <c r="Q69" i="24" s="1"/>
  <c r="S198" i="24"/>
  <c r="R174" i="24"/>
  <c r="S31" i="24"/>
  <c r="R196" i="24"/>
  <c r="Q40" i="24"/>
  <c r="Q68" i="24" s="1"/>
  <c r="Q47" i="24"/>
  <c r="R16" i="24"/>
  <c r="P15" i="24"/>
  <c r="P71" i="24" s="1"/>
  <c r="O164" i="24"/>
  <c r="O179" i="24" s="1"/>
  <c r="P51" i="24"/>
  <c r="Q104" i="24"/>
  <c r="P103" i="24"/>
  <c r="P132" i="24"/>
  <c r="O137" i="24"/>
  <c r="P81" i="24"/>
  <c r="S13" i="24"/>
  <c r="Q142" i="24"/>
  <c r="P139" i="24"/>
  <c r="P184" i="24"/>
  <c r="S34" i="24"/>
  <c r="S32" i="24" s="1"/>
  <c r="R32" i="24"/>
  <c r="N189" i="24"/>
  <c r="N183" i="24" s="1"/>
  <c r="O17" i="24"/>
  <c r="S194" i="24"/>
  <c r="S172" i="24"/>
  <c r="L179" i="24"/>
  <c r="L231" i="24" s="1"/>
  <c r="R193" i="24"/>
  <c r="S28" i="24"/>
  <c r="R171" i="24"/>
  <c r="O161" i="24"/>
  <c r="P83" i="24"/>
  <c r="O82" i="24"/>
  <c r="P156" i="24"/>
  <c r="P153" i="24" s="1"/>
  <c r="Q149" i="24"/>
  <c r="P146" i="24"/>
  <c r="O134" i="24"/>
  <c r="P78" i="24"/>
  <c r="O75" i="24"/>
  <c r="R25" i="24"/>
  <c r="O162" i="24"/>
  <c r="O177" i="24" s="1"/>
  <c r="O39" i="24"/>
  <c r="N11" i="24"/>
  <c r="M14" i="24" l="1"/>
  <c r="M50" i="24"/>
  <c r="Q45" i="24"/>
  <c r="P195" i="24"/>
  <c r="P173" i="24"/>
  <c r="Q30" i="24"/>
  <c r="H56" i="15"/>
  <c r="H63" i="15" s="1"/>
  <c r="H36" i="15"/>
  <c r="H50" i="15" s="1"/>
  <c r="H57" i="15" s="1"/>
  <c r="O131" i="24"/>
  <c r="S25" i="24"/>
  <c r="R168" i="24"/>
  <c r="R190" i="24"/>
  <c r="P82" i="24"/>
  <c r="Q83" i="24"/>
  <c r="R142" i="24"/>
  <c r="Q139" i="24"/>
  <c r="R104" i="24"/>
  <c r="Q103" i="24"/>
  <c r="Q132" i="24"/>
  <c r="R105" i="24"/>
  <c r="Q133" i="24"/>
  <c r="F154" i="24"/>
  <c r="O189" i="24"/>
  <c r="O183" i="24" s="1"/>
  <c r="P17" i="24"/>
  <c r="P11" i="24" s="1"/>
  <c r="P137" i="24"/>
  <c r="Q81" i="24"/>
  <c r="S16" i="24"/>
  <c r="R40" i="24"/>
  <c r="O52" i="24"/>
  <c r="N46" i="24"/>
  <c r="Q42" i="24"/>
  <c r="Q70" i="24" s="1"/>
  <c r="L166" i="24"/>
  <c r="L67" i="24"/>
  <c r="P134" i="24"/>
  <c r="Q78" i="24"/>
  <c r="P75" i="24"/>
  <c r="Q51" i="24"/>
  <c r="R41" i="24"/>
  <c r="R69" i="24" s="1"/>
  <c r="N203" i="24"/>
  <c r="L197" i="24"/>
  <c r="R149" i="24"/>
  <c r="Q156" i="24"/>
  <c r="Q146" i="24"/>
  <c r="O176" i="24"/>
  <c r="S193" i="24"/>
  <c r="S171" i="24"/>
  <c r="Q184" i="24"/>
  <c r="P164" i="24"/>
  <c r="P179" i="24" s="1"/>
  <c r="Q15" i="24"/>
  <c r="Q71" i="24" s="1"/>
  <c r="R47" i="24"/>
  <c r="P161" i="24"/>
  <c r="S196" i="24"/>
  <c r="S174" i="24"/>
  <c r="O11" i="24"/>
  <c r="P39" i="24"/>
  <c r="O163" i="24"/>
  <c r="O178" i="24" s="1"/>
  <c r="P162" i="24"/>
  <c r="P177" i="24" s="1"/>
  <c r="R68" i="24" l="1"/>
  <c r="F14" i="24"/>
  <c r="Q72" i="24"/>
  <c r="O73" i="24"/>
  <c r="O166" i="24" s="1"/>
  <c r="F50" i="24"/>
  <c r="M71" i="24"/>
  <c r="R45" i="24"/>
  <c r="P131" i="24"/>
  <c r="R30" i="24"/>
  <c r="Q173" i="24"/>
  <c r="Q195" i="24"/>
  <c r="L224" i="24"/>
  <c r="S168" i="24"/>
  <c r="S190" i="24"/>
  <c r="R184" i="24"/>
  <c r="Q153" i="24"/>
  <c r="O203" i="24"/>
  <c r="N197" i="24"/>
  <c r="R42" i="24"/>
  <c r="S105" i="24"/>
  <c r="S133" i="24" s="1"/>
  <c r="R133" i="24"/>
  <c r="S47" i="24"/>
  <c r="M47" i="24" s="1"/>
  <c r="R51" i="24"/>
  <c r="S40" i="24"/>
  <c r="S68" i="24" s="1"/>
  <c r="R81" i="24"/>
  <c r="Q137" i="24"/>
  <c r="S104" i="24"/>
  <c r="R103" i="24"/>
  <c r="R132" i="24"/>
  <c r="Q82" i="24"/>
  <c r="R83" i="24"/>
  <c r="N166" i="24"/>
  <c r="N67" i="24"/>
  <c r="S41" i="24"/>
  <c r="S69" i="24" s="1"/>
  <c r="Q134" i="24"/>
  <c r="R78" i="24"/>
  <c r="Q75" i="24"/>
  <c r="L181" i="24"/>
  <c r="L233" i="24" s="1"/>
  <c r="L160" i="24"/>
  <c r="P52" i="24"/>
  <c r="P73" i="24" s="1"/>
  <c r="O46" i="24"/>
  <c r="P176" i="24"/>
  <c r="Q164" i="24"/>
  <c r="Q179" i="24" s="1"/>
  <c r="R15" i="24"/>
  <c r="R71" i="24" s="1"/>
  <c r="R156" i="24"/>
  <c r="R153" i="24" s="1"/>
  <c r="S149" i="24"/>
  <c r="R146" i="24"/>
  <c r="Q161" i="24"/>
  <c r="Q17" i="24"/>
  <c r="Q11" i="24" s="1"/>
  <c r="P189" i="24"/>
  <c r="P183" i="24" s="1"/>
  <c r="S142" i="24"/>
  <c r="R139" i="24"/>
  <c r="P163" i="24"/>
  <c r="P178" i="24" s="1"/>
  <c r="Q39" i="24"/>
  <c r="O67" i="24"/>
  <c r="Q162" i="24"/>
  <c r="Q177" i="24" s="1"/>
  <c r="O181" i="24" l="1"/>
  <c r="O175" i="24" s="1"/>
  <c r="O160" i="24"/>
  <c r="R72" i="24"/>
  <c r="R39" i="24"/>
  <c r="R70" i="24"/>
  <c r="F71" i="24"/>
  <c r="M164" i="24"/>
  <c r="S45" i="24"/>
  <c r="R162" i="24"/>
  <c r="R177" i="24" s="1"/>
  <c r="L218" i="24"/>
  <c r="R173" i="24"/>
  <c r="R195" i="24"/>
  <c r="S30" i="24"/>
  <c r="Q131" i="24"/>
  <c r="R164" i="24"/>
  <c r="R179" i="24" s="1"/>
  <c r="S15" i="24"/>
  <c r="S71" i="24" s="1"/>
  <c r="L175" i="24"/>
  <c r="L227" i="24" s="1"/>
  <c r="S83" i="24"/>
  <c r="S82" i="24" s="1"/>
  <c r="R82" i="24"/>
  <c r="S103" i="24"/>
  <c r="S132" i="24"/>
  <c r="M104" i="24"/>
  <c r="S51" i="24"/>
  <c r="F47" i="24"/>
  <c r="P203" i="24"/>
  <c r="O197" i="24"/>
  <c r="S184" i="24"/>
  <c r="P166" i="24"/>
  <c r="P67" i="24"/>
  <c r="Q176" i="24"/>
  <c r="N181" i="24"/>
  <c r="N175" i="24" s="1"/>
  <c r="N160" i="24"/>
  <c r="R161" i="24"/>
  <c r="S78" i="24"/>
  <c r="M78" i="24" s="1"/>
  <c r="R134" i="24"/>
  <c r="R75" i="24"/>
  <c r="R137" i="24"/>
  <c r="S81" i="24"/>
  <c r="S42" i="24"/>
  <c r="S70" i="24" s="1"/>
  <c r="S139" i="24"/>
  <c r="M142" i="24"/>
  <c r="Q189" i="24"/>
  <c r="Q183" i="24" s="1"/>
  <c r="R17" i="24"/>
  <c r="R11" i="24" s="1"/>
  <c r="S156" i="24"/>
  <c r="S153" i="24" s="1"/>
  <c r="S146" i="24"/>
  <c r="M149" i="24"/>
  <c r="Q52" i="24"/>
  <c r="Q73" i="24" s="1"/>
  <c r="P46" i="24"/>
  <c r="S162" i="24"/>
  <c r="S177" i="24" s="1"/>
  <c r="M41" i="24"/>
  <c r="M69" i="24" s="1"/>
  <c r="M40" i="24"/>
  <c r="M68" i="24" s="1"/>
  <c r="M105" i="24"/>
  <c r="Q163" i="24"/>
  <c r="Q178" i="24" s="1"/>
  <c r="S72" i="24" l="1"/>
  <c r="F164" i="24"/>
  <c r="M179" i="24"/>
  <c r="M222" i="24"/>
  <c r="M45" i="24"/>
  <c r="R131" i="24"/>
  <c r="S39" i="24"/>
  <c r="M30" i="24"/>
  <c r="S173" i="24"/>
  <c r="S195" i="24"/>
  <c r="M83" i="24"/>
  <c r="M82" i="24" s="1"/>
  <c r="M51" i="24"/>
  <c r="F51" i="24" s="1"/>
  <c r="R163" i="24"/>
  <c r="R178" i="24" s="1"/>
  <c r="M133" i="24"/>
  <c r="F105" i="24"/>
  <c r="M139" i="24"/>
  <c r="F142" i="24"/>
  <c r="S161" i="24"/>
  <c r="M134" i="24"/>
  <c r="F78" i="24"/>
  <c r="R176" i="24"/>
  <c r="M132" i="24"/>
  <c r="M103" i="24"/>
  <c r="F104" i="24"/>
  <c r="S164" i="24"/>
  <c r="S179" i="24" s="1"/>
  <c r="M184" i="24"/>
  <c r="F40" i="24"/>
  <c r="M146" i="24"/>
  <c r="F149" i="24"/>
  <c r="Q166" i="24"/>
  <c r="Q181" i="24" s="1"/>
  <c r="Q175" i="24" s="1"/>
  <c r="Q67" i="24"/>
  <c r="S134" i="24"/>
  <c r="S163" i="24" s="1"/>
  <c r="S178" i="24" s="1"/>
  <c r="S75" i="24"/>
  <c r="P181" i="24"/>
  <c r="P175" i="24" s="1"/>
  <c r="P160" i="24"/>
  <c r="Q203" i="24"/>
  <c r="P197" i="24"/>
  <c r="F41" i="24"/>
  <c r="R52" i="24"/>
  <c r="R73" i="24" s="1"/>
  <c r="Q46" i="24"/>
  <c r="R189" i="24"/>
  <c r="R183" i="24" s="1"/>
  <c r="S17" i="24"/>
  <c r="S11" i="24" s="1"/>
  <c r="S137" i="24"/>
  <c r="S131" i="24" s="1"/>
  <c r="M81" i="24"/>
  <c r="M156" i="24"/>
  <c r="M42" i="24"/>
  <c r="M39" i="24" l="1"/>
  <c r="M70" i="24"/>
  <c r="M195" i="24"/>
  <c r="M72" i="24"/>
  <c r="F222" i="24"/>
  <c r="M231" i="24"/>
  <c r="F179" i="24"/>
  <c r="F231" i="24" s="1"/>
  <c r="F45" i="24"/>
  <c r="F83" i="24"/>
  <c r="F133" i="24"/>
  <c r="F146" i="24"/>
  <c r="F139" i="24"/>
  <c r="F82" i="24"/>
  <c r="F195" i="24"/>
  <c r="F30" i="24"/>
  <c r="M173" i="24"/>
  <c r="F173" i="24" s="1"/>
  <c r="F156" i="24"/>
  <c r="M153" i="24"/>
  <c r="M162" i="24"/>
  <c r="F69" i="24"/>
  <c r="M165" i="24"/>
  <c r="F72" i="24"/>
  <c r="M137" i="24"/>
  <c r="M131" i="24" s="1"/>
  <c r="F81" i="24"/>
  <c r="R166" i="24"/>
  <c r="R67" i="24"/>
  <c r="M186" i="24"/>
  <c r="F186" i="24" s="1"/>
  <c r="F42" i="24"/>
  <c r="S189" i="24"/>
  <c r="S183" i="24" s="1"/>
  <c r="S52" i="24"/>
  <c r="S46" i="24" s="1"/>
  <c r="R46" i="24"/>
  <c r="R203" i="24"/>
  <c r="Q197" i="24"/>
  <c r="F184" i="24"/>
  <c r="F134" i="24"/>
  <c r="S176" i="24"/>
  <c r="M161" i="24"/>
  <c r="F68" i="24"/>
  <c r="F103" i="24"/>
  <c r="F132" i="24"/>
  <c r="M75" i="24"/>
  <c r="Q160" i="24"/>
  <c r="M17" i="24"/>
  <c r="S73" i="24" l="1"/>
  <c r="F39" i="24"/>
  <c r="F153" i="24"/>
  <c r="F137" i="24"/>
  <c r="F131" i="24" s="1"/>
  <c r="F25" i="24"/>
  <c r="F75" i="24"/>
  <c r="M219" i="24"/>
  <c r="M220" i="24"/>
  <c r="F165" i="24"/>
  <c r="M232" i="24"/>
  <c r="M223" i="24"/>
  <c r="M52" i="24"/>
  <c r="M203" i="24" s="1"/>
  <c r="R181" i="24"/>
  <c r="R175" i="24" s="1"/>
  <c r="R160" i="24"/>
  <c r="M176" i="24"/>
  <c r="M228" i="24" s="1"/>
  <c r="F161" i="24"/>
  <c r="S203" i="24"/>
  <c r="S197" i="24" s="1"/>
  <c r="R197" i="24"/>
  <c r="M177" i="24"/>
  <c r="F177" i="24" s="1"/>
  <c r="F162" i="24"/>
  <c r="M189" i="24"/>
  <c r="M11" i="24"/>
  <c r="F17" i="24"/>
  <c r="M163" i="24"/>
  <c r="F70" i="24"/>
  <c r="F84" i="8"/>
  <c r="F86" i="8"/>
  <c r="F83" i="8"/>
  <c r="F15" i="8"/>
  <c r="F13" i="8"/>
  <c r="E13" i="8" s="1"/>
  <c r="E118" i="8"/>
  <c r="E117" i="8"/>
  <c r="E116" i="8"/>
  <c r="E115" i="8"/>
  <c r="E114" i="8"/>
  <c r="F113" i="8"/>
  <c r="G10" i="8"/>
  <c r="H10" i="8"/>
  <c r="I10" i="8"/>
  <c r="J10" i="8"/>
  <c r="K10" i="8"/>
  <c r="L10" i="8"/>
  <c r="M10" i="8"/>
  <c r="N10" i="8"/>
  <c r="O10" i="8"/>
  <c r="P10" i="8"/>
  <c r="Q10" i="8"/>
  <c r="E11" i="8"/>
  <c r="E12" i="8"/>
  <c r="E14" i="8"/>
  <c r="F16" i="8"/>
  <c r="E17" i="8"/>
  <c r="E18" i="8"/>
  <c r="E19" i="8"/>
  <c r="E20" i="8"/>
  <c r="E21" i="8"/>
  <c r="F22" i="8"/>
  <c r="E23" i="8"/>
  <c r="E24" i="8"/>
  <c r="E26" i="8"/>
  <c r="E27" i="8"/>
  <c r="F28" i="8"/>
  <c r="E29" i="8"/>
  <c r="E30" i="8"/>
  <c r="E32" i="8"/>
  <c r="E33" i="8"/>
  <c r="F34" i="8"/>
  <c r="G34" i="8"/>
  <c r="H34" i="8"/>
  <c r="I34" i="8"/>
  <c r="J34" i="8"/>
  <c r="K34" i="8"/>
  <c r="L34" i="8"/>
  <c r="M34" i="8"/>
  <c r="N34" i="8"/>
  <c r="O34" i="8"/>
  <c r="P34" i="8"/>
  <c r="Q34" i="8"/>
  <c r="E35" i="8"/>
  <c r="E36" i="8"/>
  <c r="E38" i="8"/>
  <c r="E39" i="8"/>
  <c r="F40" i="8"/>
  <c r="G40" i="8"/>
  <c r="H40" i="8"/>
  <c r="I40" i="8"/>
  <c r="J40" i="8"/>
  <c r="K40" i="8"/>
  <c r="L40" i="8"/>
  <c r="M40" i="8"/>
  <c r="N40" i="8"/>
  <c r="O40" i="8"/>
  <c r="P40" i="8"/>
  <c r="Q40" i="8"/>
  <c r="E41" i="8"/>
  <c r="E42" i="8"/>
  <c r="E43" i="8"/>
  <c r="E44" i="8"/>
  <c r="E45" i="8"/>
  <c r="F46" i="8"/>
  <c r="E47" i="8"/>
  <c r="E48" i="8"/>
  <c r="E49" i="8"/>
  <c r="E50" i="8"/>
  <c r="E51" i="8"/>
  <c r="F52" i="8"/>
  <c r="G52" i="8"/>
  <c r="H52" i="8"/>
  <c r="I52" i="8"/>
  <c r="J52" i="8"/>
  <c r="K52" i="8"/>
  <c r="L52" i="8"/>
  <c r="M52" i="8"/>
  <c r="N52" i="8"/>
  <c r="O52" i="8"/>
  <c r="P52" i="8"/>
  <c r="Q52" i="8"/>
  <c r="E53" i="8"/>
  <c r="E54" i="8"/>
  <c r="E55" i="8"/>
  <c r="E56" i="8"/>
  <c r="E57" i="8"/>
  <c r="G58" i="8"/>
  <c r="H58" i="8"/>
  <c r="I58" i="8"/>
  <c r="J58" i="8"/>
  <c r="K58" i="8"/>
  <c r="L58" i="8"/>
  <c r="M58" i="8"/>
  <c r="N58" i="8"/>
  <c r="O58" i="8"/>
  <c r="P58" i="8"/>
  <c r="Q58" i="8"/>
  <c r="E59" i="8"/>
  <c r="E60" i="8"/>
  <c r="E61" i="8"/>
  <c r="E62" i="8"/>
  <c r="F63" i="8"/>
  <c r="E65" i="8"/>
  <c r="E66" i="8"/>
  <c r="E67" i="8"/>
  <c r="E68" i="8"/>
  <c r="F69" i="8"/>
  <c r="E69" i="8" s="1"/>
  <c r="F70" i="8"/>
  <c r="G70" i="8"/>
  <c r="H70" i="8"/>
  <c r="I70" i="8"/>
  <c r="J70" i="8"/>
  <c r="K70" i="8"/>
  <c r="L70" i="8"/>
  <c r="M70" i="8"/>
  <c r="N70" i="8"/>
  <c r="O70" i="8"/>
  <c r="P70" i="8"/>
  <c r="Q70" i="8"/>
  <c r="E71" i="8"/>
  <c r="E72" i="8"/>
  <c r="E73" i="8"/>
  <c r="E74" i="8"/>
  <c r="E75" i="8"/>
  <c r="F76" i="8"/>
  <c r="G76" i="8"/>
  <c r="H76" i="8"/>
  <c r="I76" i="8"/>
  <c r="J76" i="8"/>
  <c r="K76" i="8"/>
  <c r="L76" i="8"/>
  <c r="M76" i="8"/>
  <c r="N76" i="8"/>
  <c r="O76" i="8"/>
  <c r="P76" i="8"/>
  <c r="Q76" i="8"/>
  <c r="E77" i="8"/>
  <c r="E78" i="8"/>
  <c r="E79" i="8"/>
  <c r="E80" i="8"/>
  <c r="E81" i="8"/>
  <c r="F89" i="8"/>
  <c r="G89" i="8"/>
  <c r="H89" i="8"/>
  <c r="I89" i="8"/>
  <c r="J89" i="8"/>
  <c r="K89" i="8"/>
  <c r="L89" i="8"/>
  <c r="M89" i="8"/>
  <c r="N89" i="8"/>
  <c r="O89" i="8"/>
  <c r="P89" i="8"/>
  <c r="Q89" i="8"/>
  <c r="E90" i="8"/>
  <c r="E91" i="8"/>
  <c r="E92" i="8"/>
  <c r="E93" i="8"/>
  <c r="E94" i="8"/>
  <c r="F95" i="8"/>
  <c r="G95" i="8"/>
  <c r="H95" i="8"/>
  <c r="I95" i="8"/>
  <c r="J95" i="8"/>
  <c r="K95" i="8"/>
  <c r="L95" i="8"/>
  <c r="M95" i="8"/>
  <c r="N95" i="8"/>
  <c r="O95" i="8"/>
  <c r="P95" i="8"/>
  <c r="Q95" i="8"/>
  <c r="E96" i="8"/>
  <c r="E97" i="8"/>
  <c r="E98" i="8"/>
  <c r="E99" i="8"/>
  <c r="E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E102" i="8"/>
  <c r="E103" i="8"/>
  <c r="E104" i="8"/>
  <c r="E105" i="8"/>
  <c r="E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E108" i="8"/>
  <c r="E109" i="8"/>
  <c r="E110" i="8"/>
  <c r="E111" i="8"/>
  <c r="E112" i="8"/>
  <c r="G119" i="8"/>
  <c r="H119" i="8"/>
  <c r="I119" i="8"/>
  <c r="J119" i="8"/>
  <c r="K119" i="8"/>
  <c r="L119" i="8"/>
  <c r="M119" i="8"/>
  <c r="N119" i="8"/>
  <c r="O119" i="8"/>
  <c r="P119" i="8"/>
  <c r="Q119" i="8"/>
  <c r="E120" i="8"/>
  <c r="E121" i="8"/>
  <c r="E122" i="8"/>
  <c r="E123" i="8"/>
  <c r="F124" i="8"/>
  <c r="F119" i="8" s="1"/>
  <c r="E126" i="8"/>
  <c r="E127" i="8"/>
  <c r="E128" i="8"/>
  <c r="E129" i="8"/>
  <c r="F130" i="8"/>
  <c r="F125" i="8" s="1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G136" i="8"/>
  <c r="H136" i="8"/>
  <c r="I136" i="8"/>
  <c r="J136" i="8"/>
  <c r="K136" i="8"/>
  <c r="L136" i="8"/>
  <c r="M136" i="8"/>
  <c r="N136" i="8"/>
  <c r="O136" i="8"/>
  <c r="P136" i="8"/>
  <c r="Q136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E139" i="8"/>
  <c r="E140" i="8"/>
  <c r="E141" i="8"/>
  <c r="E142" i="8"/>
  <c r="E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E145" i="8"/>
  <c r="E146" i="8"/>
  <c r="E147" i="8"/>
  <c r="E148" i="8"/>
  <c r="E149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F150" i="8" s="1"/>
  <c r="G155" i="8"/>
  <c r="H155" i="8"/>
  <c r="I155" i="8"/>
  <c r="I161" i="8" s="1"/>
  <c r="J155" i="8"/>
  <c r="K155" i="8"/>
  <c r="L155" i="8"/>
  <c r="M155" i="8"/>
  <c r="M161" i="8" s="1"/>
  <c r="N155" i="8"/>
  <c r="O155" i="8"/>
  <c r="P155" i="8"/>
  <c r="Q155" i="8"/>
  <c r="Q161" i="8" s="1"/>
  <c r="G150" i="8"/>
  <c r="M73" i="24" l="1"/>
  <c r="O150" i="8"/>
  <c r="G161" i="8"/>
  <c r="E124" i="8"/>
  <c r="E119" i="8" s="1"/>
  <c r="P160" i="8"/>
  <c r="L160" i="8"/>
  <c r="H160" i="8"/>
  <c r="P159" i="8"/>
  <c r="L159" i="8"/>
  <c r="H159" i="8"/>
  <c r="H158" i="8"/>
  <c r="P157" i="8"/>
  <c r="L157" i="8"/>
  <c r="H157" i="8"/>
  <c r="F11" i="24"/>
  <c r="L158" i="8"/>
  <c r="F10" i="8"/>
  <c r="F64" i="8"/>
  <c r="N160" i="8"/>
  <c r="H131" i="8"/>
  <c r="K131" i="8"/>
  <c r="F223" i="24"/>
  <c r="F232" i="24"/>
  <c r="F220" i="24"/>
  <c r="F229" i="24"/>
  <c r="F219" i="24"/>
  <c r="M221" i="24"/>
  <c r="M229" i="24"/>
  <c r="M166" i="24"/>
  <c r="M46" i="24"/>
  <c r="F87" i="8"/>
  <c r="G159" i="8"/>
  <c r="O158" i="8"/>
  <c r="G158" i="8"/>
  <c r="K157" i="8"/>
  <c r="E15" i="8"/>
  <c r="G131" i="8"/>
  <c r="F52" i="24"/>
  <c r="N158" i="8"/>
  <c r="N157" i="8"/>
  <c r="J131" i="8"/>
  <c r="S166" i="24"/>
  <c r="S67" i="24"/>
  <c r="M178" i="24"/>
  <c r="F178" i="24" s="1"/>
  <c r="F163" i="24"/>
  <c r="F189" i="24"/>
  <c r="M183" i="24"/>
  <c r="F176" i="24"/>
  <c r="M197" i="24"/>
  <c r="F203" i="24"/>
  <c r="J157" i="8"/>
  <c r="J160" i="8"/>
  <c r="N159" i="8"/>
  <c r="J159" i="8"/>
  <c r="J158" i="8"/>
  <c r="L131" i="8"/>
  <c r="N161" i="8"/>
  <c r="Q160" i="8"/>
  <c r="E135" i="8"/>
  <c r="Q131" i="8"/>
  <c r="M157" i="8"/>
  <c r="I157" i="8"/>
  <c r="E83" i="8"/>
  <c r="K150" i="8"/>
  <c r="Q150" i="8"/>
  <c r="E130" i="8"/>
  <c r="E125" i="8" s="1"/>
  <c r="F85" i="8"/>
  <c r="F159" i="8" s="1"/>
  <c r="Q159" i="8"/>
  <c r="M159" i="8"/>
  <c r="Q158" i="8"/>
  <c r="E144" i="8"/>
  <c r="E63" i="8"/>
  <c r="E58" i="8" s="1"/>
  <c r="Q157" i="8"/>
  <c r="F158" i="8"/>
  <c r="F58" i="8"/>
  <c r="E101" i="8"/>
  <c r="E89" i="8"/>
  <c r="E52" i="8"/>
  <c r="J150" i="8"/>
  <c r="E154" i="8"/>
  <c r="I150" i="8"/>
  <c r="E153" i="8"/>
  <c r="M150" i="8"/>
  <c r="O161" i="8"/>
  <c r="K161" i="8"/>
  <c r="F160" i="8"/>
  <c r="K158" i="8"/>
  <c r="F136" i="8"/>
  <c r="E107" i="8"/>
  <c r="E155" i="8"/>
  <c r="P150" i="8"/>
  <c r="E138" i="8"/>
  <c r="J161" i="8"/>
  <c r="M160" i="8"/>
  <c r="I160" i="8"/>
  <c r="O131" i="8"/>
  <c r="E132" i="8"/>
  <c r="E113" i="8"/>
  <c r="F157" i="8"/>
  <c r="E152" i="8"/>
  <c r="M131" i="8"/>
  <c r="E133" i="8"/>
  <c r="N131" i="8"/>
  <c r="E76" i="8"/>
  <c r="E70" i="8"/>
  <c r="E40" i="8"/>
  <c r="E34" i="8"/>
  <c r="E28" i="8"/>
  <c r="E22" i="8"/>
  <c r="E16" i="8"/>
  <c r="L150" i="8"/>
  <c r="N150" i="8"/>
  <c r="E151" i="8"/>
  <c r="P161" i="8"/>
  <c r="H161" i="8"/>
  <c r="O160" i="8"/>
  <c r="K160" i="8"/>
  <c r="G160" i="8"/>
  <c r="O159" i="8"/>
  <c r="K159" i="8"/>
  <c r="P158" i="8"/>
  <c r="E95" i="8"/>
  <c r="E46" i="8"/>
  <c r="E64" i="8"/>
  <c r="I159" i="8"/>
  <c r="H150" i="8"/>
  <c r="P131" i="8"/>
  <c r="E86" i="8"/>
  <c r="M158" i="8"/>
  <c r="O157" i="8"/>
  <c r="E136" i="8"/>
  <c r="E134" i="8"/>
  <c r="L161" i="8"/>
  <c r="I158" i="8"/>
  <c r="G157" i="8"/>
  <c r="E84" i="8"/>
  <c r="I131" i="8"/>
  <c r="N156" i="8" l="1"/>
  <c r="L156" i="8"/>
  <c r="H156" i="8"/>
  <c r="F228" i="24"/>
  <c r="F197" i="24"/>
  <c r="F183" i="24"/>
  <c r="F46" i="24"/>
  <c r="F73" i="24"/>
  <c r="E87" i="8"/>
  <c r="F161" i="8"/>
  <c r="F156" i="8" s="1"/>
  <c r="M67" i="24"/>
  <c r="M160" i="24"/>
  <c r="M224" i="24"/>
  <c r="M230" i="24"/>
  <c r="F221" i="24"/>
  <c r="F230" i="24"/>
  <c r="E10" i="8"/>
  <c r="M156" i="8"/>
  <c r="S181" i="24"/>
  <c r="S175" i="24" s="1"/>
  <c r="S160" i="24"/>
  <c r="Q156" i="8"/>
  <c r="M181" i="24"/>
  <c r="M233" i="24" s="1"/>
  <c r="F166" i="24"/>
  <c r="F82" i="8"/>
  <c r="E161" i="8"/>
  <c r="K156" i="8"/>
  <c r="E150" i="8"/>
  <c r="J156" i="8"/>
  <c r="I156" i="8"/>
  <c r="E157" i="8"/>
  <c r="F131" i="8"/>
  <c r="E85" i="8"/>
  <c r="G156" i="8"/>
  <c r="E160" i="8"/>
  <c r="O156" i="8"/>
  <c r="P156" i="8"/>
  <c r="E158" i="8"/>
  <c r="E131" i="8"/>
  <c r="E82" i="8" l="1"/>
  <c r="F67" i="24"/>
  <c r="M218" i="24"/>
  <c r="F160" i="24"/>
  <c r="F224" i="24"/>
  <c r="F181" i="24"/>
  <c r="M175" i="24"/>
  <c r="M227" i="24" s="1"/>
  <c r="E159" i="8"/>
  <c r="E156" i="8" s="1"/>
  <c r="H10" i="23"/>
  <c r="H13" i="23"/>
  <c r="L23" i="23"/>
  <c r="L17" i="23" s="1"/>
  <c r="O47" i="23"/>
  <c r="Q47" i="23"/>
  <c r="P47" i="23"/>
  <c r="H27" i="23"/>
  <c r="L24" i="23"/>
  <c r="K24" i="23"/>
  <c r="K23" i="23"/>
  <c r="F175" i="24" l="1"/>
  <c r="F227" i="24" s="1"/>
  <c r="F218" i="24"/>
  <c r="F233" i="24"/>
  <c r="L31" i="23"/>
  <c r="L47" i="23" s="1"/>
  <c r="K31" i="23"/>
  <c r="K47" i="23" s="1"/>
  <c r="H30" i="23"/>
  <c r="N23" i="23"/>
  <c r="N17" i="23" s="1"/>
  <c r="N31" i="23" s="1"/>
  <c r="N47" i="23" s="1"/>
  <c r="M23" i="23"/>
  <c r="M17" i="23" s="1"/>
  <c r="M31" i="23" s="1"/>
  <c r="M47" i="23" s="1"/>
  <c r="H24" i="23"/>
  <c r="H23" i="23" l="1"/>
  <c r="H17" i="23"/>
  <c r="H31" i="23" s="1"/>
  <c r="H47" i="23" s="1"/>
</calcChain>
</file>

<file path=xl/comments1.xml><?xml version="1.0" encoding="utf-8"?>
<comments xmlns="http://schemas.openxmlformats.org/spreadsheetml/2006/main">
  <authors>
    <author>Админ</author>
  </authors>
  <commentList>
    <comment ref="I56" authorId="0">
      <text>
        <r>
          <rPr>
            <b/>
            <sz val="11"/>
            <color indexed="81"/>
            <rFont val="Tahoma"/>
            <family val="2"/>
            <charset val="204"/>
          </rPr>
          <t xml:space="preserve">перераспределено  внутри мероприятия для соисполнения УКС охрана здания ФОК (незаершенное строительство объекта)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<sst xmlns="http://schemas.openxmlformats.org/spreadsheetml/2006/main" count="852" uniqueCount="324">
  <si>
    <t>2020 г.</t>
  </si>
  <si>
    <t>2019 г.</t>
  </si>
  <si>
    <t>Таблица 2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</si>
  <si>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</si>
  <si>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</si>
  <si>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</si>
  <si>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</si>
  <si>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</si>
  <si>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</si>
  <si>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</si>
  <si>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1.2.</t>
  </si>
  <si>
    <t>1.3.</t>
  </si>
  <si>
    <t>1.5.</t>
  </si>
  <si>
    <t>2.1.</t>
  </si>
  <si>
    <t>средства по соглашениям по передаче полномочий</t>
  </si>
  <si>
    <t>2.2.</t>
  </si>
  <si>
    <t>Департамент культуры и спорта Нефтеюганского района</t>
  </si>
  <si>
    <t>2.3.</t>
  </si>
  <si>
    <t>Всего по муниципальной программе</t>
  </si>
  <si>
    <t>в том числе:</t>
  </si>
  <si>
    <t>инвестиции в объекты муниципальной собсвенности</t>
  </si>
  <si>
    <t>прочие расходы</t>
  </si>
  <si>
    <t>Департамент культуры и спорта Нефтеюганского района, БУНР ФСО "Атлант"</t>
  </si>
  <si>
    <t>Подпрограмма 1 " Развитие массовой физической культуры, школьного спорта и спорта"</t>
  </si>
  <si>
    <t>иные источники</t>
  </si>
  <si>
    <t>МКУ «Управление капитального строительства и жилищно-коммунального комплекса Нефтеюганского района»</t>
  </si>
  <si>
    <t>1.1.</t>
  </si>
  <si>
    <t>2.5.</t>
  </si>
  <si>
    <t>Подпрограмма 3 «Управление отраслью физической культуры и спорта»</t>
  </si>
  <si>
    <t>март</t>
  </si>
  <si>
    <t>апрель</t>
  </si>
  <si>
    <t>май</t>
  </si>
  <si>
    <t>июнь</t>
  </si>
  <si>
    <t>июль</t>
  </si>
  <si>
    <t>всего</t>
  </si>
  <si>
    <t>1.4.</t>
  </si>
  <si>
    <t>2018 г.</t>
  </si>
  <si>
    <t>1.</t>
  </si>
  <si>
    <t>иные  источники</t>
  </si>
  <si>
    <t>Источник финансирования</t>
  </si>
  <si>
    <t>Показатель мощности</t>
  </si>
  <si>
    <t>Единицы измерения мощности</t>
  </si>
  <si>
    <t>№ п/п</t>
  </si>
  <si>
    <t>Таблица 3</t>
  </si>
  <si>
    <t>Итого по подпрограмме III</t>
  </si>
  <si>
    <t xml:space="preserve">Единовременное денежное вознаграждение спортсменам (победителям и призерам), их личным тренерам              </t>
  </si>
  <si>
    <t>3.2.</t>
  </si>
  <si>
    <t>Присвоение спортивных разрядов, квалификационных категорий спортивных судей (оплата труда специалиста, приобретение квалификационных книжек и значков)</t>
  </si>
  <si>
    <t>3.1.</t>
  </si>
  <si>
    <t>Итого по подпрограмме II</t>
  </si>
  <si>
    <t>Департамент культуры и спорта Нефтеюганского района, НР БОУ ДО ДЮСШ "Нептун"</t>
  </si>
  <si>
    <t>Текущий ремонт спортивных объектов, устранение недостатков и выполнение рекомендаций антитеррористического плана</t>
  </si>
  <si>
    <t xml:space="preserve">Обеспечение комплексной безопасности и комфортных условий в учреждениях спорта (капитальный, текущий ремонт спортивных объектов)     </t>
  </si>
  <si>
    <t xml:space="preserve">Развитие материально-технической базы учреждений муниципального образования                                                             </t>
  </si>
  <si>
    <t>2.4.</t>
  </si>
  <si>
    <t xml:space="preserve">Обеспечение деятельности (оказание услуг)  по  организации дополнительного образования детей.                </t>
  </si>
  <si>
    <t xml:space="preserve">Обеспечение спортивным оборудованием, экипировкой и инвентарем учащихся ДЮСШ Нефтеюганского района, резерв сборных команд округа                   </t>
  </si>
  <si>
    <t xml:space="preserve">Участие в окружных, региональных, всероссийских и международных соревнованиях в соответствии с календарным планом.   </t>
  </si>
  <si>
    <t>Подпрограмма 2 "Развитие детско-юношеского спорта"</t>
  </si>
  <si>
    <t>Итого по подпрограмме I</t>
  </si>
  <si>
    <t xml:space="preserve">Обеспечение спортивным оборудованием, экипировкой и инвентарем </t>
  </si>
  <si>
    <t>Департамент культуры и спорта Нефтеюганского района, МКУ "УпОДУКиС"</t>
  </si>
  <si>
    <t xml:space="preserve">
Обеспечение деятельности (оказание услуг) организация занятий физической культурой и спортом</t>
  </si>
  <si>
    <t xml:space="preserve">Обеспечение комплексной безопасности и комфортных условий в учреждениях спорта (капитальный, текущий ремонт спортивных объектов)   </t>
  </si>
  <si>
    <t>Строительство физкультурно-оздоровительных комплексов, объектов физической культуры и спорта</t>
  </si>
  <si>
    <t xml:space="preserve"> </t>
  </si>
  <si>
    <t xml:space="preserve">Развитие материально-технической базы учреждений муниципального образования </t>
  </si>
  <si>
    <t>Проведение районных комплексных спортивно-массовых мероприятий в соответствии с календарным планом</t>
  </si>
  <si>
    <t>Участие в окружных, региональных, всероссийских и международных соревнованиях в соответствии с календарным планом</t>
  </si>
  <si>
    <t>Проведение международных соревнований в соответствии с календарным планом</t>
  </si>
  <si>
    <t xml:space="preserve">Проведение районных комплексных спортивно-массовых мероприятий,  участие в окружных, региональных, всероссийских и международных соревнованиях в соответствии с календарным планом.   </t>
  </si>
  <si>
    <t>декабрь</t>
  </si>
  <si>
    <t>ноябрь</t>
  </si>
  <si>
    <t>октябрь</t>
  </si>
  <si>
    <t>сентябрь</t>
  </si>
  <si>
    <t>август</t>
  </si>
  <si>
    <t>февраль</t>
  </si>
  <si>
    <t>январь</t>
  </si>
  <si>
    <t>Финансовые затраты на реализацию (тыс.руб.)</t>
  </si>
  <si>
    <t>Ответственный исполнитель мероприятия</t>
  </si>
  <si>
    <t>муниципальной программы «Развитие физической культуры и спорта в Нефтеюганском районе на 2017-2020 годы»</t>
  </si>
  <si>
    <t xml:space="preserve">Комплексный план </t>
  </si>
  <si>
    <t>Таблица 4</t>
  </si>
  <si>
    <t>НР БОУ ДО ДЮСШ "Нептун"</t>
  </si>
  <si>
    <t>Приобретение орг. Техники и мебели</t>
  </si>
  <si>
    <t xml:space="preserve">               Итого по подпрограмме I </t>
  </si>
  <si>
    <t>Итого по подпрограмме  II</t>
  </si>
  <si>
    <t>Итого по подпрограмме  III</t>
  </si>
  <si>
    <t>Департамент строительства и жилищно-коммунального комплекса Нефтеюганского района/МКУ «Управление капитального строительства и жилищно-коммунального комплекса Нефтеюганского района»</t>
  </si>
  <si>
    <t xml:space="preserve">Перечень основных мероприятий муниципальной программы </t>
  </si>
  <si>
    <t>Местонахождения</t>
  </si>
  <si>
    <t>Ответственный исполнитель Департамент культуры и спорта Нефтеюганского района</t>
  </si>
  <si>
    <t xml:space="preserve">№ п/п </t>
  </si>
  <si>
    <t> 2</t>
  </si>
  <si>
    <t> 1</t>
  </si>
  <si>
    <t>2017 г.</t>
  </si>
  <si>
    <t>Объем финансирования,тыс. рублей</t>
  </si>
  <si>
    <t>№</t>
  </si>
  <si>
    <t>МО Нефтеюганский район, сельское поселение Сингапай</t>
  </si>
  <si>
    <t>МО Нефтеюганский район, городское поселение Пойковский</t>
  </si>
  <si>
    <t>Департамент образования и молодежной политики Нефтеюганского района</t>
  </si>
  <si>
    <t>Соисполнитель 3                                                                                  Департамент образования и молодежной политики Нефтеюганского района</t>
  </si>
  <si>
    <t>МО Нефтеюганский район сельское поселение Каркатеевы</t>
  </si>
  <si>
    <t>км.</t>
  </si>
  <si>
    <t>Лыжероллерная трасса  будет удовлетворять функциональным, техническим, экономическим и физкультурно-спортивным требованиям на современном этапе,  обеспечит беспрепятственный доступ в получении физкультурно-оздоровительных услуг,позволит увеличить численость систематически занимающихся физической культурой и спортом.Количество создаваемых рабочих мест в соответсвии с инвестиционным проектом составляет 8 единиц.</t>
  </si>
  <si>
    <t>Новое здание физкультурно-оздоровительного комплекса в наибольшей степени будет удовлетворять функциональным, техническим, экономическим и физкультурно-спортивным требованиям на современном этапе, позволит обеспечить беспрепятственный доступ в получении физкультурно-оздоровительных услуг,позволит увеличить численость систематически занимающихся физической культурой и спортом ,а также обеспечение рабочими местами.Количество создаваемых рабочих мест в соответсвии с инвестиционным проектом составляет 42 единицы.</t>
  </si>
  <si>
    <t>Новое здание физкультурно-оздоровительного комплекса в наибольшей степени будет удовлетворять функциональным, техническим, экономическим и физкультурно-спортивным требованиям на современном этапе, позволит обеспечить беспрепятственный доступ в получении физкультурно-оздоровительных услуг,позволит увеличить численость систематически занимающихся физической культурой и спортом ,а также обеспечение рабочими местами. Количество создаваемых рабочих мест в соответсвии с инвестиционным проектом составляет 60 единиц.</t>
  </si>
  <si>
    <r>
      <t xml:space="preserve">Подпрограмма I </t>
    </r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 xml:space="preserve">Развитие массовой физической культуры и спорта, школьного спорта </t>
    </r>
    <r>
      <rPr>
        <b/>
        <sz val="12"/>
        <rFont val="Calibri"/>
        <family val="2"/>
        <charset val="204"/>
      </rPr>
      <t>»</t>
    </r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</si>
  <si>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ВФСК "ГТО" (%)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</si>
  <si>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(%)</t>
  </si>
  <si>
    <t>Доля населения, систематически занимающегося физической культурой и спортом, в общей численности населения* (%)</t>
  </si>
  <si>
    <t xml:space="preserve">Целевое значение показателя на момент окончания действия муниципальной программы </t>
  </si>
  <si>
    <t>Значения целевого показателя по годам</t>
  </si>
  <si>
    <t>Базовый целевой показатель на начало реализации муниципальной программы</t>
  </si>
  <si>
    <t>Наименование целевого показателя</t>
  </si>
  <si>
    <t>№ целевого показателя</t>
  </si>
  <si>
    <t xml:space="preserve">Целевые показатели муниципальной программы </t>
  </si>
  <si>
    <t>Таблица 1</t>
  </si>
  <si>
    <t>Доля средств бюджета Нефтеюганского района, выделяемых негосударственным организациям, в том числе СО НКО на предоставление услуг в сфере физической культуры и спорта, потенциально возможных к передаче (%)</t>
  </si>
  <si>
    <t>2021г.</t>
  </si>
  <si>
    <t>2022г.</t>
  </si>
  <si>
    <t>2023г.</t>
  </si>
  <si>
    <t>2024г.</t>
  </si>
  <si>
    <t>Подпрограмма 2 «Развитие детско-юношеского спорта»</t>
  </si>
  <si>
    <t>2016-2019</t>
  </si>
  <si>
    <t>2030 год</t>
  </si>
  <si>
    <t>2026 год</t>
  </si>
  <si>
    <t>2027 год</t>
  </si>
  <si>
    <t>2028 год</t>
  </si>
  <si>
    <t>2029 год</t>
  </si>
  <si>
    <t>средства поселений *</t>
  </si>
  <si>
    <t xml:space="preserve">всего </t>
  </si>
  <si>
    <t>Всего по проектам</t>
  </si>
  <si>
    <t xml:space="preserve">Итого по проектам муниципального образования Нефтеюганский район </t>
  </si>
  <si>
    <t xml:space="preserve">Проекты муниципального образования Нефтеюганский район </t>
  </si>
  <si>
    <t>Параметры финансового обеспечения, тыс. рублей</t>
  </si>
  <si>
    <t xml:space="preserve">Источники финансирования </t>
  </si>
  <si>
    <t>Срок реализации</t>
  </si>
  <si>
    <t>Ответственное структурное подразделение</t>
  </si>
  <si>
    <t>№
п/п</t>
  </si>
  <si>
    <t>Значение показателя на момент окончания реализации муниципальной программы</t>
  </si>
  <si>
    <t>Значения показателя по годам</t>
  </si>
  <si>
    <r>
      <t xml:space="preserve">Наименование показателя объема (единицы измерения) муниципальных  </t>
    </r>
    <r>
      <rPr>
        <sz val="12"/>
        <color theme="1"/>
        <rFont val="Times New Roman"/>
        <family val="1"/>
        <charset val="204"/>
      </rPr>
      <t>услуг (работ)</t>
    </r>
  </si>
  <si>
    <r>
      <t xml:space="preserve">Наименование муниципальных </t>
    </r>
    <r>
      <rPr>
        <sz val="12"/>
        <color theme="1"/>
        <rFont val="Times New Roman"/>
        <family val="1"/>
        <charset val="204"/>
      </rPr>
      <t>услуг (работ)</t>
    </r>
  </si>
  <si>
    <t>Таблица 5</t>
  </si>
  <si>
    <t>*** Указывается при наличии подпрограмм.</t>
  </si>
  <si>
    <t>** Характеристика, методика расчета, ссылка на форму федерального статистического наблюдения.</t>
  </si>
  <si>
    <t>* Заполняется при наличии.</t>
  </si>
  <si>
    <t>Примечания:</t>
  </si>
  <si>
    <r>
      <t>Механизм реализации (</t>
    </r>
    <r>
      <rPr>
        <sz val="12"/>
        <rFont val="Times New Roman"/>
        <family val="1"/>
        <charset val="204"/>
      </rPr>
      <t>в том числе</t>
    </r>
    <r>
      <rPr>
        <sz val="12"/>
        <color theme="1"/>
        <rFont val="Times New Roman"/>
        <family val="1"/>
        <charset val="204"/>
      </rPr>
      <t xml:space="preserve"> реквизиты нормативного правового акта, наименование портфеля проектов (проекта))</t>
    </r>
    <r>
      <rPr>
        <vertAlign val="superscript"/>
        <sz val="12"/>
        <color theme="1"/>
        <rFont val="Times New Roman"/>
        <family val="1"/>
        <charset val="204"/>
      </rPr>
      <t>*</t>
    </r>
  </si>
  <si>
    <t>Содержание (направления расходов)</t>
  </si>
  <si>
    <t>Наименование основного мероприятия</t>
  </si>
  <si>
    <r>
      <t>Наименование целевого показателя</t>
    </r>
    <r>
      <rPr>
        <vertAlign val="superscript"/>
        <sz val="12"/>
        <color theme="1"/>
        <rFont val="Times New Roman"/>
        <family val="1"/>
        <charset val="204"/>
      </rPr>
      <t>**</t>
    </r>
  </si>
  <si>
    <t>Основные мероприятия</t>
  </si>
  <si>
    <t>Характеристика основных мероприятий, их связь с целевыми показателями</t>
  </si>
  <si>
    <t>Таблица 6</t>
  </si>
  <si>
    <t>Таблица 7</t>
  </si>
  <si>
    <t>"Развитие материально-технической базы учреждений муниципального образования"</t>
  </si>
  <si>
    <t>"Обеспечение деятельности (оказание услуг) организация занятий физической культурой и спортом"</t>
  </si>
  <si>
    <t>2021 г.</t>
  </si>
  <si>
    <t>2022 г.</t>
  </si>
  <si>
    <t>2023 г.</t>
  </si>
  <si>
    <t>Проведение занятий физкультурно-спортивной направленности по месту проживания граждан</t>
  </si>
  <si>
    <t>Количество занятий</t>
  </si>
  <si>
    <t>Организация и проведение официальных физкультурных (физкультурно-оздоровительных) мероприятий (Международные)</t>
  </si>
  <si>
    <t>Количество мероприятий</t>
  </si>
  <si>
    <t>Организация и проведение официальных физкультурных (физкультурно-оздоровительных) мероприятий (Межмуниципальные)</t>
  </si>
  <si>
    <t>Организация и проведение официальных физкультурных (физкультурно-оздоровительных) мероприятий (Муниципальные)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</si>
  <si>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(БУНР ФСО "Атлант")</t>
  </si>
  <si>
    <t>"Обеспечение комплексной безопасности и комфортных условий в учреждениях спорта (капитальный, текущий ремонт спортивных объектов)"</t>
  </si>
  <si>
    <t>"Обеспечение спортивным оборудованием, экипировкой и инвентарем"</t>
  </si>
  <si>
    <t xml:space="preserve">"Поддержка некоммерческих организаций, реализующих проекты в сфере массовой физической культуры " 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</si>
  <si>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районе. </t>
  </si>
  <si>
    <t>Реализация данного мероприятия направленно на создание безопасной и комфортной среды  для  занимающихся физической культурой и спортом.</t>
  </si>
  <si>
    <t>В рамках данного мероприятия обеспечение детско-юношеских спортивных школ Нефтеюганского района спортивным оборудованием, экипировкой и инвентарем.</t>
  </si>
  <si>
    <t>Реализация данного мероприятия направленно на обеспечение спортивных комплексов Нефтеюганского района спортивным оборудованием, экипировкой и инвентарем.</t>
  </si>
  <si>
    <t>В рамках данного мероприятия осуществляется проведение районных комплексных спортивно-массовых мероприятий некоммерческими организациями</t>
  </si>
  <si>
    <t>"Участие в окружных, региональных, всероссийских и международных соревнованиях в соответствии с календарным планом."</t>
  </si>
  <si>
    <t>"Обеспечение спортивным оборудованием, экипировкой и инвентарем учащихся ДЮСШ Нефтеюганского района, резерв сборных команд округа"</t>
  </si>
  <si>
    <t xml:space="preserve">"Обеспечение деятельности (оказание услуг)  по  организации дополнительного образования детей." </t>
  </si>
  <si>
    <t>"Присвоение спортивных разрядов, квалификационных категорий спортивных судей (оплата труда специалиста, приобретение квалификационных книжек и значков)"</t>
  </si>
  <si>
    <t>"Единовременное денежное вознаграждение спортсменам (победителям и призерам), их личным тренерам"</t>
  </si>
  <si>
    <t>В рамках данного мероприятия осуществляется проведение тренировочных сборов, участие юношеских сборных команд Нефтеюганского района по видам спорта в окружных соревнованиях.</t>
  </si>
  <si>
    <t>В рамках данного мероприятия осуществляется содержание учреждения и выплата заработной платы НРБОУ ДО ДЮСШ "Нептун"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</si>
  <si>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</t>
  </si>
  <si>
    <t>В рамках данного мероприятия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</si>
  <si>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>В рамках данного мероприятия осуществляется приобретение значков, квалификационных книжек для присвоения спортивных разрядов</t>
  </si>
  <si>
    <t xml:space="preserve">В рамках данного мероприятия осуществляется содержание учреждения и выплата заработной платы БУНР ФСО Атлант (с 2019г.также включены проведение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 ). </t>
  </si>
  <si>
    <t>2025г.-2030г.</t>
  </si>
  <si>
    <t>2025 год</t>
  </si>
  <si>
    <t>2025-2030г.</t>
  </si>
  <si>
    <t>2024 г.</t>
  </si>
  <si>
    <t>2025 г.-2030г.</t>
  </si>
  <si>
    <t>2017-2020</t>
  </si>
  <si>
    <t xml:space="preserve">Физкультурно-оздоровительный комплекс  гп Пойковский                         </t>
  </si>
  <si>
    <t>Градостроительный кодекс Российской Федерации;
Федеральный закон от 05.04.2013 № 44 «О контрактной системе в сфере закупок товаров, работ, услуг для обеспечения государственных и муниципальных нужд»,
«Строительство физкультурно-оздоровительного комплекса  сп. Сингапай»</t>
  </si>
  <si>
    <t>Градостроительный кодекс Российской Федерации;
Федеральный закон от 05.04.2013 № 44 «О контрактной системе в сфере закупок товаров, работ, услуг для обеспечения государственных и муниципальных нужд»,</t>
  </si>
  <si>
    <t xml:space="preserve">
• Указ Президента Российской Федерации от 07 мая 2018 года № 204
«О национальных целях и стратегических задачах развития Российской Федерации на период до 2024 года»;
• Федеральный закон Российской Федерации от 04.12.2007 № 329-ФЗ "О физической культуре и спорте в Российской Федерации" 
• Стратегия социально-экономического развития муниципального образования Нефтеюганский район до 2030 года от 31 июля 2018 года № 257 ,«Крепкое здоровье - крепкий район»
• Решение Думы Нефтеюганского района от 09.02.2012 № 160 «О нормативах финансирования отдельных затрат на проведение культурно-массовых и спортивных мероприятий»
</t>
  </si>
  <si>
    <t xml:space="preserve">• Федеральный закон Российской Федерации от 04.12.2007 № 329-ФЗ "О физической культуре и спорте в Российской Федерации" 
• Федеральный закон от 18.07.2011 N 223-ФЗ "О закупках товаров, работ, услуг отдельными видами юридических лиц"
• Приказ Министерства спорта Российской Федерации от 24 октября 2012 № 325 "О методических рекомендациях по организации спортивной подготовки в Российской Федерации" 
• Федеральный закон от 05.04.2013 № 44 «О контрактной системе в сфере закупок товаров, работ, услуг для обеспечения государственных и муниципальных нужд» Часть 3 ст.14
• Приказ Министерства спорта Российской Федерации от 24 августа 2015 года № 825 «Об утверждении Порядка обеспечения условий доступности для инвалидов объектов и предоставляемых услуг в сфере физической культуры и спорта, а также оказания инвалидам при этом необходимой помощи
• Федеральный закон от 27.12.2002 № 184-ФЗ «О техническом регулировании»
• Закон Российской Федерации от 07.02.1992 N 2300-1 "О защите прав потребителей"
• ГОСТ Р 56903-2016 Тренажеры стационарные. Оборудование для силовых тренировок. Дополнительные требования безопасности и методы испытаний
</t>
  </si>
  <si>
    <t xml:space="preserve">• Указ Президента Российской Федерации от 07 мая 2018 года № 204
«О национальных целях и стратегических задачах развития Российской Федерации на период до 2024 года»;
• Федеральный закон Российской Федерации от 04.12.2007 № 329-ФЗ "О физической культуре и спорте в Российской Федерации" 
• Стратегия социально-экономического развития муниципального образования Нефтеюганский район до 2030 года от 31 июля 2018 года № 257 ,«Крепкое здоровье - крепкий район»
• Решение Думы Нефтеюганского района от 09.02.2012 № 160 «О нормативах финансирования отдельных затрат на проведение культурно-массовых и спортивных мероприятий»
</t>
  </si>
  <si>
    <t>Федерального закона от 6 октября 1999 года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(далее – Федеральный закон № 184-ФЗ)</t>
  </si>
  <si>
    <t xml:space="preserve">Федеральным законом от 27 июля 2010 года № 210-ФЗ «Об организации предоставления государственных и муниципальных услуг»
Федеральный закон № 329-ФЗ "О физической культуре и спорте в Российской Федерации" 
Постановление администрации Нефтеюганского района от 15.06.2016 № 853-па-нпа «О субсидиях из бюджета муниципального образования Нефтеюганский район социально ориентированным некоммерческим организациям, осуществляющим деятельность в Нефтеюганском районе, 
на реализацию программ (проектов)»
</t>
  </si>
  <si>
    <t>Решением Думы Нефтеюганского района от 25.12.2012г. № 311 «О внесении изменений в решение Думы Нефтеюганского района от 09.02.2012г. №160  «О нормативах финансирования отдельных затрат на проведение культурно-массовых и спортивных мероприятий»</t>
  </si>
  <si>
    <t xml:space="preserve">*Указ Президента Российской Федерации от 07 мая 2018 года № 204«О национальных целях и стратегических задачах развития Российской Федерации на период до 2024 года»
**Портфель проектов «Демография»
</t>
  </si>
  <si>
    <t>Уровень обеспеченности населения спортивными сооружениями исходя из единовременной пропускной способности объектов спорта **(%)</t>
  </si>
  <si>
    <t xml:space="preserve">Основное мероприятие    "Обеспечение комплексной безопасности и комфортных условий в учреждениях спорта (капитальный, текущий ремонт спортивных объектов)"  (2)           </t>
  </si>
  <si>
    <t>Основное мероприятие          "Развитие материально-технической базы учреждений муниципального образования" (2)</t>
  </si>
  <si>
    <t xml:space="preserve">Основное мероприятие     "Обеспечение комплексной безопасности и комфортных условий в учреждениях спорта (капитальный, текущий ремонт спортивных объектов)"  (2)           </t>
  </si>
  <si>
    <t>Основное мероприятие          "Развитие материально-технической базы учреждений муниципального образования"                                  (обеспечение МТБ, строительство) (2)</t>
  </si>
  <si>
    <r>
      <t> </t>
    </r>
    <r>
      <rPr>
        <sz val="15"/>
        <rFont val="Times New Roman"/>
        <family val="1"/>
        <charset val="204"/>
      </rPr>
      <t>115</t>
    </r>
  </si>
  <si>
    <r>
      <t>чел/час</t>
    </r>
    <r>
      <rPr>
        <sz val="15"/>
        <color indexed="8"/>
        <rFont val="Times New Roman"/>
        <family val="1"/>
        <charset val="204"/>
      </rPr>
      <t>  </t>
    </r>
  </si>
  <si>
    <r>
      <t> </t>
    </r>
    <r>
      <rPr>
        <sz val="15"/>
        <rFont val="Times New Roman"/>
        <family val="1"/>
        <charset val="204"/>
      </rPr>
      <t>80</t>
    </r>
  </si>
  <si>
    <t>Основное мероприятие    "Обеспечение деятельности (оказание услуг) организация занятий физической культурой и спортом" (1,3,4,5,6)</t>
  </si>
  <si>
    <t>Основное мероприятие    "Обеспечение спортивным оборудованием, экипировкой и инвентарем" (1,3,4,5,6)</t>
  </si>
  <si>
    <t>Основное мероприятие                          "Поддержка некоммерческих организаций, реализующих проекты в сфере массовой физической культуры " (8)</t>
  </si>
  <si>
    <t>Основное мероприятие           "Участие в окружных, региональных, всероссийских и международных соревнованиях в соответствии с календарным планом." (1,3)</t>
  </si>
  <si>
    <t>Основное мероприятие    "Обеспечение спортивным оборудованием, экипировкой и инвентарем учащихся ДЮСШ Нефтеюганского района, резерв сборных команд округа" (1,3,7)</t>
  </si>
  <si>
    <t>Основное мероприятие    "Присвоение спортивных разрядов, квалификационных категорий спортивных судей (оплата труда специалиста, приобретение квалификационных книжек и значков)" (1,3,4,5,6)</t>
  </si>
  <si>
    <t>Основное мероприятие "Единовременное денежное вознаграждение спортсменам (победителям и призерам), их личным тренерам" (1,3,4,5,6)</t>
  </si>
  <si>
    <t xml:space="preserve">8.Доля средств бюджета Нефтеюганского района, выделяемых негосударственным организациям, в том числе СОНКО на предоставление услуг в сфере физической культуры и спорта, потенциально возможных к передаче . 
Материальная поддержка в виде субсидий некоммерческим организациям предоставляется в соответствии с постановлением администрации Нефтеюганского района от 15.06.2016 № 853-па-нпа «О субсидиях из бюджета муниципального образования Нефтеюганский район социально ориентированным некоммерческим организациям, осуществляющим деятельность в Нефтеюганском районе, 
на реализацию программ (проектов)». 
Данный показатель рассчитывается по формуле:
P = БНО / БМО * 100, где:
P – доля средств бюджета муниципального образования, выделяемых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бюджета муниципального образования, выделяемых на предоставление услуг в сфере физической культуры, потенциально возможных к передаче;
БНО – средства бюджета муниципального образования, запланированные 
на предоставление услуг в сфере физической культуры негосударственным организациям (коммерческим, некоммерческим);
БМО – средства бюджета муниципального образования, выделяемые 
на выполнение услуг (работ), потенциально возможных к передаче.
</t>
  </si>
  <si>
    <t xml:space="preserve">2.Уровень обеспеченности населения спортивными сооружениями исходя из единовременной пропускной способности. Показатель рассчитывается как  отношение единовременной пропускной способности имеющихся спортивных сооружений, в соответствии с данными федерального статистического наблюдения по форме №1-ФК к необходимой нормативной единовременной пропускной способности спортивных сооружений умноженной  на 100 %.Методикой расчёта данного показателя является приказ Минспорта России от 21 марта 2018 года № 244 «Об утверждении методических рекомендаций о применении нормативов и норм при определении потребности субъектов Российской Федерации в объектах физической культуры и спорта.
Источником формирования показателей являются данные федерального статистического наблюдения по формам 1-ФК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</si>
  <si>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 xml:space="preserve">2.Уровень обеспеченности населения спортивными сооружениями исходя из единовременной пропускной способности. Показатель рассчитывается как  отношение единовременной пропускной способности имеющихся спортивных сооружений, в соответствии с данными федерального статистического наблюдения по форме №1-ФК к необходимой нормативной единовременной пропускной способности спортивных сооружений умноженной  на 100 %.Методикой расчёта данного показателя является приказ Минспорта России от 21 марта 2018 года № 244 «Об утверждении методических рекомендаций о применении нормативов и норм при определении потребности субъектов Российской Федерации в объектах физической культуры и спорта.
Источником формирования показателей являются данные федерального статистического наблюдения по формам 1-ФК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</si>
  <si>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 xml:space="preserve"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4. Доля граждан среднего возраста, систематически занимающихся физической культурой и спортом, в общей численности граждан среднего возраста. Показатель рассчитывается как отношение численности населения занимающихся физической культурой и спорт в возрасте 30 - 54 лет (для женщин) и 30-59 лет (для мужчин)к  общей численности населения в возрасте 30 - 54 лет (для женщин) и 30-59 лет (для мужчин)на 1 января умноженное  на 100 %.
5. Доля  граждан старшего возраста, систематически занимающихся физической культурой и спортом в общей численности граждан старшего возраста. Показатель рассчитывается как отношение численности населения занимающихся физической культурой и спорт в возрасте 55 лет и старше (для женщин) и 60 лет и старше (для мужчин) к  общей численности населения в возрасте 55 лет и старше (для женщин) и 60 лет и старше (для мужчин) на 1 января умноженное  на 100 %.
6. 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населения. Показатель рассчитывается как отношение числа лиц с инвалидностью, занимающихся физической культурой и спортом 
к среднегодовой численности данной категории населения, умноженное на 100 % 
по состоянию на 1 января. 
Источником формирования показателей являются данные федерального статистического наблюдения по формам 1-ФК, 3-АФК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</si>
  <si>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 xml:space="preserve"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4. Доля граждан среднего возраста, систематически занимающихся физической культурой и спортом, в общей численности граждан среднего возраста. Показатель рассчитывается как отношение численности населения занимающихся физической культурой и спорт в возрасте 30 - 54 лет (для женщин) и 30-59 лет (для мужчин)к  общей численности населения в возрасте 30 - 54 лет (для женщин) и 30-59 лет (для мужчин)на 1 января умноженное  на 100 %.
5. Доля  граждан старшего возраста, систематически занимающихся физической культурой и спортом в общей численности граждан старшего возраста. Показатель рассчитывается как отношение численности населения занимающихся физической культурой и спорт в возрасте 55 лет и старше (для женщин) и 60 лет и старше (для мужчин) к  общей численности населения в возрасте 55 лет и старше (для женщин) и 60 лет и старше (для мужчин) на 1 января умноженное  на 100 %.
6. 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населения. Показатель рассчитывается как отношение числа лиц с инвалидностью, занимающихся физической культурой и спортом 
к среднегодовой численности данной категории населения, умноженное на 100 % 
по состоянию на 1 января. 
Источником формирования показателей являются данные федерального статистического наблюдения по формам 1-ФК, 3-АФК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</si>
  <si>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 xml:space="preserve"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Источником формирования показателей являются данные федерального статистического наблюдения по формам 1-ФК, 3-АФК,5-ФК,2-ГТО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</si>
  <si>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7.Доля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ВФСК «ГТО», из них учащихся. Показатель рассчитывается как отношение численности граждан (учащихся) автономного округа, выполнивших нормативы Всероссийского физкультурно-спортивного комплекса «Готов к труду и обороне» (ГТО), в общей численности населения (учащихся и студентов, принявшего участие в сдаче нормативов Всероссийского физкультурно-спортивного комплекса «Готов к труду и обороне» (ГТО), умноженное на 100% по состоянию на 01 января следующего года.
Источником формирования показателей являются данные федерального статистического наблюдения по формам 1-ФК, 3-АФК,5-ФК,2-ГТО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</t>
  </si>
  <si>
    <t xml:space="preserve">
2.Уровень обеспеченности населения спортивными сооружениями исходя из единовременной пропускной способности. Показатель рассчитывается как  отношение единовременной пропускной способности имеющихся спортивных сооружений, в соответствии с данными федерального статистического наблюдения по форме №1-ФК к необходимой нормативной единовременной пропускной способности спортивных сооружений умноженной  на 100 %.Методикой расчёта данного показателя является приказ Минспорта России от 21 марта 2018 года № 244 «Об утверждении методических рекомендаций о применении нормативов и норм при определении потребности субъектов Российской Федерации в объектах физической культуры и спорта.
ного комплекса «Готов к труду и обороне» (ГТО), умноженное на 100% по состоянию на 01 января следующего года.
Источником формирования показателей являются данные федерального статистического наблюдения по формам 1-ФК, 3-АФК,5-ФК 2-ГТО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</t>
  </si>
  <si>
    <t xml:space="preserve">
2.Уровень обеспеченности населения спортивными сооружениями исходя из единовременной пропускной способности. Показатель рассчитывается как  отношение единовременной пропускной способности имеющихся спортивных сооружений, в соответствии с данными федерального статистического наблюдения по форме №1-ФК к необходимой нормативной единовременной пропускной способности спортивных сооружений умноженной  на 100 %.Методикой расчёта данного показателя является приказ Минспорта России от 21 марта 2018 года № 244 «Об утверждении методических рекомендаций о применении нормативов и норм при определении потребности субъектов Российской Федерации в объектах физической культуры и спорта.
Источником формирования показателей являются данные федерального статистического наблюдения по формам 1-ФК, 3-АФК,5-ФК 2-ГТО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</t>
  </si>
  <si>
    <t xml:space="preserve">1.  Доля населения, систематически занимающегося физической культурой 
и спортом, в общей численности населения. Показатель рассчитывается как отношение числа лиц, занимающихся физической культурой и спортом к  общей численности населения в возрасте 3 - 79 лет на 1 января, умноженное  на 100 %. 
3. Доля детей и молодежи, систематически занимающихся физической культурой и спортом, в общей численности детей и молодежи. Показатель рассчитывается как отношение численности населения занимающихся физической культурой и спорт в возрасте 3-29 лет к  общей численности населения в возрасте 3-29 лет на 1 января умноженное  на 100 %.
4. Доля граждан среднего возраста, систематически занимающихся физической культурой и спортом, в общей численности граждан среднего возраста. Показатель рассчитывается как отношение численности населения занимающихся физической культурой и спорт в возрасте 30 - 54 лет (для женщин) и 30-59 лет (для мужчин)к  общей численности населения в возрасте 30 - 54 лет (для женщин) и 30-59 лет (для мужчин)на 1 января умноженное  на 100 %.
5. Доля  граждан старшего возраста, систематически занимающихся физической культурой и спортом в общей численности граждан старшего возраста. Показатель рассчитывается как отношение численности населения занимающихся физической культурой и спорт в возрасте 55 лет и старше (для женщин) и 60 лет и старше (для мужчин) к  общей численности населения в возрасте 55 лет и старше (для женщин) и 60 лет и старше (для мужчин) на 1 января умноженное  на 100 %.
6. 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населения. Показатель рассчитывается как отношение числа лиц с инвалидностью, занимающихся физической культурой и спортом 
к среднегодовой численности данной категории населения, умноженное на 100 % 
по состоянию на 1 января. 
Источником формирования показателей являются данные федерального статистического наблюдения по формам 1-ФК, 3-АФК утверждённым приказами Федеральной службы государственной статистики «Об утверждении статистического инструментария для организации Минспортом России федерального статистического наблюдения за деятельностью учреждений по физической культуре и спорту».
</t>
  </si>
  <si>
    <t>Человек</t>
  </si>
  <si>
    <t>Проведение тестирования выполнения нормативов испытаний (тестов) комплекса ГТО</t>
  </si>
  <si>
    <t>на реализацию (тыс. рублей)</t>
  </si>
  <si>
    <t xml:space="preserve">Финансовые затраты </t>
  </si>
  <si>
    <t xml:space="preserve">                                                                                        в том числе:</t>
  </si>
  <si>
    <t xml:space="preserve">Перечень объектов капитального строительства, объектов социально-культурного и коммунально-бытового назначения,  инвестиционных проектов, приобретение недвижимого имущества </t>
  </si>
  <si>
    <t xml:space="preserve">Наименование объекта капитального строительства, объектов социально-культурного и коммунально-бытового назначения, приобретаемого недвижимого имущества, инвестиционного проекта </t>
  </si>
  <si>
    <t>Срок строительства объекта капитального строительства, объектов социально-культурного и коммунально-бытового назначения, приобретаемого недвижимого имущества, инвестиционного проекта  или предполагаемый срок приобретения недвижимого имущества</t>
  </si>
  <si>
    <t xml:space="preserve">                                                                                  в том числе</t>
  </si>
  <si>
    <t>Эффект от капитального строительства, объектов социально-культурного и коммунально-бытового назначения,  инвестиционных проектов, приобретения недвижимого имущества (налоговые поступления, количество создаваемых рабочих мест, и т.д.)</t>
  </si>
  <si>
    <t>Цель1.Создание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</t>
  </si>
  <si>
    <t xml:space="preserve">Задача 4.Создание условий для успешного выступления спортсменов Нефтеюганского района на окружных, всероссийских и международных соревнованиях.
</t>
  </si>
  <si>
    <t xml:space="preserve">Задача 3.Повышение доступности и качества спортивной подготовки детей и обеспечение прогресса спортивного резерва. Развитие детско-юношеского спорта;
</t>
  </si>
  <si>
    <t xml:space="preserve">Задача 1.Пропаганда спортивного образа жизни для всех возрастных категорий и социальных групп граждан;
Задача 2.Обеспечение доступа жителям Нефтеюганского района к спортивной инфраструктуре;
</t>
  </si>
  <si>
    <t>Подпрограмма 1«Развитие массовой физической культуры и спорта, школьного спорта»</t>
  </si>
  <si>
    <t>Соисполнитель 1                                                                              Департамент строительства и жилищно-коммунального комплекса Нефтеюганскогорайона</t>
  </si>
  <si>
    <t>Соисполнитель 2                                                                                    Муниципальное казённое учреждение "Управление по обеспечению деятельности учреждений культуры и спорта"</t>
  </si>
  <si>
    <t>МКУ "УпОДУКиС"</t>
  </si>
  <si>
    <t xml:space="preserve">       * Средства поселений не суммируются по строке «всего».</t>
  </si>
  <si>
    <t>Подпрограмма III «Управление отраслью физической культуры и спорта»</t>
  </si>
  <si>
    <t>Подпрограмма II«Развитие детско-юношеского спорта»</t>
  </si>
  <si>
    <t>13</t>
  </si>
  <si>
    <t>1.1</t>
  </si>
  <si>
    <t xml:space="preserve">Основное мероприятие    "Обеспечение деятельности (оказание услуг)  по  организации дополнительного образования детей и спортивной подготовки" (1,3,7)              </t>
  </si>
  <si>
    <t>итого</t>
  </si>
  <si>
    <t>Региональные  проекты, направленные  на реализацию национальных проектов Российской Федерации, в которых принимает участие Нефтеюганский район</t>
  </si>
  <si>
    <t>Наименование национального проекта</t>
  </si>
  <si>
    <t>Наименование регионального проекта</t>
  </si>
  <si>
    <t>Целевой показатель*,**</t>
  </si>
  <si>
    <t>Наименование основного мероприятия, направленного на достижение целевых показателей в муниципальной программе</t>
  </si>
  <si>
    <t>2025-2030 г.</t>
  </si>
  <si>
    <t>Привлечение максимального количества населения на турниковые комплексы "Стрит-Воркаут".
1.Поддержка некоммерческих организаций, реализующих проекты в сфере массовой физической культуры ";
2. Обеспечение комплексной безопасности и комфортных условий в учреждениях спорта (капитальный, текущий ремонт спортивных объектов);
3. Обеспечение деятельности (оказание услуг) организация занятий физической культурой и спортом";
4. Обеспечение спортивным оборудованием, экипировкой и инвентарем" 
5.Использование базы образовательных школ, для занятий спортом взрослого населения.               6.Привлечение максимального количества населения на турниковые комплексы "Стрит-Воркаут";</t>
  </si>
  <si>
    <t xml:space="preserve">"Развитие материально-технической базы учреждений муниципального образования" </t>
  </si>
  <si>
    <t xml:space="preserve">средства поселений </t>
  </si>
  <si>
    <t>"Крепкое здоровье-крепкий район."</t>
  </si>
  <si>
    <t xml:space="preserve">Номер, наименование мероприятия/
Меры, направленные на достижение значений (уровней) показателей </t>
  </si>
  <si>
    <t>Наименование регионального проекта, проекта муниципального образования Нефтеюганский район *</t>
  </si>
  <si>
    <t>Примечание</t>
  </si>
  <si>
    <t>Наименование показателя</t>
  </si>
  <si>
    <t xml:space="preserve">Спорт-норма жизни.         Крепкое здоровье-крепкий район.    </t>
  </si>
  <si>
    <t>Примечание:</t>
  </si>
  <si>
    <r>
      <t>* Указывается при наличии.</t>
    </r>
    <r>
      <rPr>
        <sz val="14"/>
        <color theme="1"/>
        <rFont val="Times New Roman"/>
        <family val="1"/>
        <charset val="204"/>
      </rPr>
      <t>».</t>
    </r>
  </si>
  <si>
    <t>План мероприятий, направленный на достижение значений (уровней) показателей оценки эффективности деятельности органов местного самоуправления»   в соответствии с распоряжением администрации Нефтеюганского района</t>
  </si>
  <si>
    <t xml:space="preserve">   Департамент культуры и спорта Нефтеюганского района </t>
  </si>
  <si>
    <t>Доля населения, систематически занимающегося физической культурой и спортом</t>
  </si>
  <si>
    <t>проверка</t>
  </si>
  <si>
    <t>1.Использование базы образовательных школ, для занятий взрослого населения/Развитие материально-технической базы учреждений муниципального образования/Обеспечение спортивным оборудованием, экипировкой и инвентарем
2.Привлечение максимального количества населения на турниковые комплексы "Стрит-Воркаут"/Обеспечение комплексной безопасности и комфортных условий в учреждениях спорта (капитальный, текущий ремонт спортивных объектов)</t>
  </si>
  <si>
    <t>***</t>
  </si>
  <si>
    <t xml:space="preserve">Физкультурно-оздоровительный комплекс  сп Сингапай**                                 </t>
  </si>
  <si>
    <r>
      <rPr>
        <sz val="15"/>
        <rFont val="Times New Roman"/>
        <family val="1"/>
        <charset val="204"/>
      </rPr>
      <t>Лыжероллерная</t>
    </r>
    <r>
      <rPr>
        <sz val="15"/>
        <color indexed="8"/>
        <rFont val="Times New Roman"/>
        <family val="1"/>
        <charset val="204"/>
      </rPr>
      <t xml:space="preserve"> трасса с твердым покрытием и электрическим освещением к объекту "Модульная лыжная база в районе сп Каркатевы Нефтеюганского района"***</t>
    </r>
  </si>
  <si>
    <t>**</t>
  </si>
  <si>
    <t>* по средствам местного бюджета в графе финансовые затраты на реализацию "Всего", подпрограммы I "" Развитие массовой физической культуры и спорта, школьного спорта ", основное мероприятие: "Развитие материально-технической базы учреждений муниципального образования"  отражена сумма остатков благотворительных средств 2017 года в объеме 60 249,0 тыс руб., строительство физкультурно-оздоровительного спортивного комплекса в сп Сингапай Нефтеюганского района.</t>
  </si>
  <si>
    <t xml:space="preserve"> в строке 3 Лыжероллерная трасса с твердым покрытием и электрическим освещением к объекту "Модульная лыжная база в районе сп Каркатевы Нефтеюганского района  в 2020 году указана сумма переходящих остатков 2019 года  в размере 640,00 т.рублей</t>
  </si>
  <si>
    <t xml:space="preserve">в строке 1  по средствам местного бюджета в графе финасовые затраты на реализацию объекта строительства - Физкультурно-спортивный комплекс с.п.Сингапай  в 2020 году  указана сумма переходящих остатков  2019 года в размере  57 553,49002 т.рублей </t>
  </si>
  <si>
    <t xml:space="preserve">Приложение </t>
  </si>
  <si>
    <t xml:space="preserve">к постановлению администрации  </t>
  </si>
  <si>
    <t>Нефтеюганского района</t>
  </si>
  <si>
    <t>от ______________ № __________</t>
  </si>
  <si>
    <t xml:space="preserve">«Таблица 4 </t>
  </si>
  <si>
    <t>Региональные проекты, основанные на национальных проектах Российской Федерации, в которых принимает участие Нефтеюганский район</t>
  </si>
  <si>
    <t>Демография</t>
  </si>
  <si>
    <t>"Спорт-норма жизни"</t>
  </si>
  <si>
    <t xml:space="preserve">1.Доля населения, систематически занимающегося физической культурой и спортом, в общей численности населения. 
год 2018-37% 2019-41% 2020-45% 2021-49% 2022-53% 2023-57% 2024-57%                    </t>
  </si>
  <si>
    <t xml:space="preserve">2.Уровень обеспеченности населения спортивными сооружениями исходя из единовременной пропускной способности объектов спорта.  год 2018-48,4% 2019-49,4% 202050,4% 2021-51,4% 2022-52,3 2023-53,3% 2024-53,0%
  </t>
  </si>
  <si>
    <t xml:space="preserve"> И того по Региональным проектам, основанных на национальных проектах Российской Федерации, в которых принимает участие Нефтеюганский район.</t>
  </si>
  <si>
    <t>Доля населения, систематически занимающегося физической культурой и спортом, в общей численности населения.      год 2018-37% 2019-41% 2020-45% 2021-49% 2022-53% 2023-57% 2024-57%</t>
  </si>
  <si>
    <t xml:space="preserve">Создание для всех категорий и групп населения условия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резерва.
</t>
  </si>
  <si>
    <t xml:space="preserve">
  </t>
  </si>
  <si>
    <t>2020-2022</t>
  </si>
  <si>
    <t xml:space="preserve">  </t>
  </si>
  <si>
    <t>Из них учащихся  (%)</t>
  </si>
  <si>
    <t>7.1.</t>
  </si>
  <si>
    <t>7</t>
  </si>
  <si>
    <t>Доля  граждан старшего возраста, систематически занимающихся физической культурой и спортом в общей численности граждан старшего возраста** (%)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</si>
  <si>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возраста**(%)</t>
  </si>
  <si>
    <t>Доля детей и молодежи, систематически занимающихся физической культурой и спортом, в общей численности детей и молодежи** (%)</t>
  </si>
  <si>
    <t>Спортивная подготовка по неолимпийским видам спорта Циклические, скоростно-силовые виды спорта и многоборья (Северное многоборье этап начальной подготовки)</t>
  </si>
  <si>
    <t>Спортивная подготовка по неолимпийским видам спорта Циклические, скоростно-силовые виды спорта и многоборья (Пауэрлифтинг этап начальной подготовки)</t>
  </si>
  <si>
    <t>Спортивная подготовка по неолимпийским видам спорта Циклические, скоростно-силовые виды спорта и многоборья (Пауэрлифтинг этап совершенствования спортивного мастерства)</t>
  </si>
  <si>
    <t>Спортивная подготовка по неолимпийским видам спорта Циклические, скоростно-силовые виды спорта и многоборья (Северное многоборье тренировочный этап)</t>
  </si>
  <si>
    <t>Спортивная подготовка по неолимпийским видам спорта Циклические, скоростно-силовые виды спорта и многоборья (Пауэрлифтинг тренировочный этап)</t>
  </si>
  <si>
    <t>Спортивная подготовка по олимпийским видам спорта Циклические, скоростно-силовые виды спорта и многоборья (Плавание тренировочный этап)</t>
  </si>
  <si>
    <t>Спортивная подготовка по олимпийским видам спорта спортивные игры (Футбол мини-футбол тренировочный этап)</t>
  </si>
  <si>
    <t>Спортивная подготовка по олимпийским видам спорта спортивные игры (Волейбол, тренировочный этап)</t>
  </si>
  <si>
    <t>Спортивная подготовка по олимпийским видам спорта вольная борьба (вольная борьба,этап тренировочный этап)</t>
  </si>
  <si>
    <t>Спортивная подготовка по олимпийским видам спорта спортивные единоборства (бокс , тренировочный этап)</t>
  </si>
  <si>
    <t>Спортивная подготовка по олимпийским видам спорта Циклические, скоростно-силовые виды спорта и многоборья (Плавание этап начальной подготовки)</t>
  </si>
  <si>
    <t>Спортивная подготовка по олимпийским видам спорта спортивные игры (Футбол мини-футбол этап начальной подготовки)</t>
  </si>
  <si>
    <t>Спортивная подготовка по олимпийским видам спорта спортивные игры (Волейбол,этап начальной подготовки)</t>
  </si>
  <si>
    <t>19</t>
  </si>
  <si>
    <t xml:space="preserve"> Количество человеко-часов/Человек</t>
  </si>
  <si>
    <t>Спортивная подготовка по олимпийским видам спорта вольная борьба (вольная борьба,этап начальной подготовки)</t>
  </si>
  <si>
    <t>54</t>
  </si>
  <si>
    <t>Спортивная подготовка по олимпийским видам спорта спортивные единоборства (бокс ,этап начальной подготовки)</t>
  </si>
  <si>
    <r>
      <t xml:space="preserve">Сводные показатели муниципальных </t>
    </r>
    <r>
      <rPr>
        <sz val="15"/>
        <color rgb="FFFF0000"/>
        <rFont val="Times New Roman"/>
        <family val="1"/>
        <charset val="204"/>
      </rPr>
      <t xml:space="preserve"> </t>
    </r>
    <r>
      <rPr>
        <sz val="15"/>
        <color theme="1"/>
        <rFont val="Times New Roman"/>
        <family val="1"/>
        <charset val="204"/>
      </rPr>
      <t>заданий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</si>
</sst>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_р_._-;\-* #,##0.00000_р_._-;_-* &quot;-&quot;?????_р_._-;_-@_-"/>
    <numFmt numFmtId="166" formatCode="_-* #,##0.000000_р_._-;\-* #,##0.000000_р_._-;_-* &quot;-&quot;??????_р_._-;_-@_-"/>
    <numFmt numFmtId="167" formatCode="_-* #,##0.00000_р_._-;\-* #,##0.00000_р_._-;_-* &quot;-&quot;??????_р_._-;_-@_-"/>
    <numFmt numFmtId="168" formatCode="_-* #,##0.00_р_._-;\-* #,##0.00_р_._-;_-* &quot;-&quot;??????_р_._-;_-@_-"/>
    <numFmt numFmtId="169" formatCode="_-* #,##0.00_р_._-;\-* #,##0.00_р_._-;_-* &quot;-&quot;?????_р_._-;_-@_-"/>
    <numFmt numFmtId="170" formatCode="0.00000E+00"/>
    <numFmt numFmtId="171" formatCode="0.0"/>
    <numFmt numFmtId="172" formatCode="_-* #,##0.000000000000_р_._-;\-* #,##0.000000000000_р_._-;_-* &quot;-&quot;????????????_р_._-;_-@_-"/>
    <numFmt numFmtId="173" formatCode="_-* #,##0.00000000000_р_._-;\-* #,##0.00000000000_р_._-;_-* &quot;-&quot;?????_р_._-;_-@_-"/>
    <numFmt numFmtId="174" formatCode="_-* #,##0.00000000000000_р_._-;\-* #,##0.00000000000000_р_._-;_-* &quot;-&quot;?????_р_._-;_-@_-"/>
    <numFmt numFmtId="175" formatCode="_-* #,##0.00000_р_._-;\-* #,##0.00000_р_._-;_-* &quot;-&quot;??_р_._-;_-@_-"/>
    <numFmt numFmtId="176" formatCode="#,##0.00000"/>
    <numFmt numFmtId="177" formatCode="_-* #,##0.000000\ _₽_-;\-* #,##0.000000\ _₽_-;_-* &quot;-&quot;??\ _₽_-;_-@_-"/>
    <numFmt numFmtId="178" formatCode="_-* #,##0.00000\ _₽_-;\-* #,##0.00000\ _₽_-;_-* &quot;-&quot;??\ _₽_-;_-@_-"/>
    <numFmt numFmtId="179" formatCode="_-* #,##0\ _₽_-;\-* #,##0\ _₽_-;_-* &quot;-&quot;??\ _₽_-;_-@_-"/>
  </numFmts>
  <fonts count="5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Calibri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5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sz val="10"/>
      <color theme="6" tint="0.79998168889431442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1"/>
      <color indexed="81"/>
      <name val="Tahoma"/>
      <family val="2"/>
      <charset val="204"/>
    </font>
    <font>
      <sz val="13"/>
      <name val="Arial Cyr"/>
      <charset val="204"/>
    </font>
    <font>
      <b/>
      <sz val="12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 Cyr"/>
      <charset val="204"/>
    </font>
    <font>
      <b/>
      <sz val="13"/>
      <name val="Arial Cyr"/>
      <charset val="204"/>
    </font>
    <font>
      <sz val="13"/>
      <color rgb="FF0070C0"/>
      <name val="Arial Cyr"/>
      <charset val="204"/>
    </font>
    <font>
      <sz val="13"/>
      <color theme="8" tint="-0.249977111117893"/>
      <name val="Arial Cyr"/>
      <charset val="204"/>
    </font>
    <font>
      <sz val="18"/>
      <name val="Times New Roman"/>
      <family val="1"/>
      <charset val="204"/>
    </font>
    <font>
      <sz val="15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8">
    <xf numFmtId="0" fontId="0" fillId="0" borderId="0"/>
    <xf numFmtId="0" fontId="27" fillId="0" borderId="0"/>
    <xf numFmtId="0" fontId="21" fillId="0" borderId="0"/>
    <xf numFmtId="9" fontId="7" fillId="0" borderId="0" applyFont="0" applyFill="0" applyBorder="0" applyAlignment="0" applyProtection="0"/>
    <xf numFmtId="0" fontId="3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0" fontId="1" fillId="0" borderId="0"/>
  </cellStyleXfs>
  <cellXfs count="441">
    <xf numFmtId="0" fontId="0" fillId="0" borderId="0" xfId="0"/>
    <xf numFmtId="0" fontId="12" fillId="2" borderId="0" xfId="1" applyFont="1" applyFill="1"/>
    <xf numFmtId="164" fontId="13" fillId="2" borderId="0" xfId="1" applyNumberFormat="1" applyFont="1" applyFill="1"/>
    <xf numFmtId="166" fontId="14" fillId="2" borderId="0" xfId="1" applyNumberFormat="1" applyFont="1" applyFill="1"/>
    <xf numFmtId="0" fontId="13" fillId="2" borderId="0" xfId="1" applyFont="1" applyFill="1" applyBorder="1"/>
    <xf numFmtId="0" fontId="12" fillId="2" borderId="0" xfId="1" applyFont="1" applyFill="1" applyAlignment="1">
      <alignment horizontal="center" vertical="center"/>
    </xf>
    <xf numFmtId="0" fontId="8" fillId="2" borderId="1" xfId="1" applyFont="1" applyFill="1" applyBorder="1" applyAlignment="1">
      <alignment vertical="center" wrapText="1"/>
    </xf>
    <xf numFmtId="167" fontId="14" fillId="2" borderId="0" xfId="1" applyNumberFormat="1" applyFont="1" applyFill="1"/>
    <xf numFmtId="0" fontId="8" fillId="2" borderId="0" xfId="1" applyFont="1" applyFill="1" applyBorder="1" applyAlignment="1">
      <alignment horizontal="left" vertical="center" wrapText="1"/>
    </xf>
    <xf numFmtId="168" fontId="15" fillId="3" borderId="2" xfId="1" applyNumberFormat="1" applyFont="1" applyFill="1" applyBorder="1" applyAlignment="1">
      <alignment horizontal="center" vertical="center" wrapText="1"/>
    </xf>
    <xf numFmtId="168" fontId="9" fillId="3" borderId="2" xfId="1" applyNumberFormat="1" applyFont="1" applyFill="1" applyBorder="1" applyAlignment="1">
      <alignment vertical="center" wrapText="1"/>
    </xf>
    <xf numFmtId="168" fontId="16" fillId="3" borderId="2" xfId="1" applyNumberFormat="1" applyFont="1" applyFill="1" applyBorder="1" applyAlignment="1">
      <alignment horizontal="center" vertical="center" wrapText="1"/>
    </xf>
    <xf numFmtId="168" fontId="10" fillId="3" borderId="2" xfId="1" applyNumberFormat="1" applyFont="1" applyFill="1" applyBorder="1" applyAlignment="1">
      <alignment horizontal="left" vertical="center" wrapText="1"/>
    </xf>
    <xf numFmtId="168" fontId="15" fillId="4" borderId="2" xfId="1" applyNumberFormat="1" applyFont="1" applyFill="1" applyBorder="1" applyAlignment="1">
      <alignment horizontal="center" vertical="center" wrapText="1"/>
    </xf>
    <xf numFmtId="168" fontId="9" fillId="4" borderId="2" xfId="1" applyNumberFormat="1" applyFont="1" applyFill="1" applyBorder="1" applyAlignment="1">
      <alignment horizontal="left" vertical="center" wrapText="1"/>
    </xf>
    <xf numFmtId="168" fontId="16" fillId="4" borderId="2" xfId="1" applyNumberFormat="1" applyFont="1" applyFill="1" applyBorder="1" applyAlignment="1">
      <alignment horizontal="center" vertical="center" wrapText="1"/>
    </xf>
    <xf numFmtId="168" fontId="10" fillId="4" borderId="2" xfId="1" applyNumberFormat="1" applyFont="1" applyFill="1" applyBorder="1" applyAlignment="1">
      <alignment horizontal="left" vertical="center" wrapText="1"/>
    </xf>
    <xf numFmtId="168" fontId="15" fillId="2" borderId="2" xfId="1" applyNumberFormat="1" applyFont="1" applyFill="1" applyBorder="1" applyAlignment="1">
      <alignment horizontal="center" vertical="center" wrapText="1"/>
    </xf>
    <xf numFmtId="168" fontId="15" fillId="0" borderId="2" xfId="1" applyNumberFormat="1" applyFont="1" applyFill="1" applyBorder="1" applyAlignment="1">
      <alignment horizontal="center" vertical="center" wrapText="1"/>
    </xf>
    <xf numFmtId="168" fontId="9" fillId="2" borderId="2" xfId="1" applyNumberFormat="1" applyFont="1" applyFill="1" applyBorder="1" applyAlignment="1">
      <alignment vertical="center" wrapText="1"/>
    </xf>
    <xf numFmtId="168" fontId="16" fillId="0" borderId="2" xfId="1" applyNumberFormat="1" applyFont="1" applyFill="1" applyBorder="1" applyAlignment="1">
      <alignment horizontal="center" vertical="center" wrapText="1"/>
    </xf>
    <xf numFmtId="168" fontId="10" fillId="2" borderId="2" xfId="1" applyNumberFormat="1" applyFont="1" applyFill="1" applyBorder="1" applyAlignment="1">
      <alignment horizontal="left" vertical="center" wrapText="1"/>
    </xf>
    <xf numFmtId="168" fontId="9" fillId="2" borderId="2" xfId="1" applyNumberFormat="1" applyFont="1" applyFill="1" applyBorder="1" applyAlignment="1">
      <alignment horizontal="left" vertical="center" wrapText="1"/>
    </xf>
    <xf numFmtId="168" fontId="17" fillId="2" borderId="3" xfId="1" applyNumberFormat="1" applyFont="1" applyFill="1" applyBorder="1" applyAlignment="1">
      <alignment horizontal="center" vertical="center" wrapText="1"/>
    </xf>
    <xf numFmtId="168" fontId="17" fillId="2" borderId="4" xfId="1" applyNumberFormat="1" applyFont="1" applyFill="1" applyBorder="1" applyAlignment="1">
      <alignment horizontal="center" vertical="center" wrapText="1"/>
    </xf>
    <xf numFmtId="0" fontId="18" fillId="2" borderId="0" xfId="1" applyFont="1" applyFill="1"/>
    <xf numFmtId="164" fontId="19" fillId="2" borderId="0" xfId="1" applyNumberFormat="1" applyFont="1" applyFill="1"/>
    <xf numFmtId="168" fontId="16" fillId="2" borderId="2" xfId="1" applyNumberFormat="1" applyFont="1" applyFill="1" applyBorder="1" applyAlignment="1">
      <alignment horizontal="center" vertical="center" wrapText="1"/>
    </xf>
    <xf numFmtId="168" fontId="8" fillId="2" borderId="3" xfId="1" applyNumberFormat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/>
    </xf>
    <xf numFmtId="164" fontId="13" fillId="2" borderId="0" xfId="1" applyNumberFormat="1" applyFont="1" applyFill="1" applyAlignment="1">
      <alignment horizontal="center"/>
    </xf>
    <xf numFmtId="1" fontId="17" fillId="2" borderId="2" xfId="1" applyNumberFormat="1" applyFont="1" applyFill="1" applyBorder="1" applyAlignment="1">
      <alignment horizontal="center" vertical="center" wrapText="1"/>
    </xf>
    <xf numFmtId="1" fontId="17" fillId="2" borderId="5" xfId="1" applyNumberFormat="1" applyFont="1" applyFill="1" applyBorder="1" applyAlignment="1">
      <alignment horizontal="center" vertical="center" wrapText="1"/>
    </xf>
    <xf numFmtId="166" fontId="15" fillId="2" borderId="2" xfId="1" applyNumberFormat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vertical="center" wrapText="1"/>
    </xf>
    <xf numFmtId="168" fontId="8" fillId="2" borderId="5" xfId="1" applyNumberFormat="1" applyFont="1" applyFill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center" wrapText="1"/>
    </xf>
    <xf numFmtId="0" fontId="21" fillId="0" borderId="0" xfId="2"/>
    <xf numFmtId="165" fontId="0" fillId="2" borderId="0" xfId="0" applyNumberFormat="1" applyFont="1" applyFill="1"/>
    <xf numFmtId="165" fontId="6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top" wrapText="1"/>
    </xf>
    <xf numFmtId="1" fontId="0" fillId="2" borderId="0" xfId="0" applyNumberFormat="1" applyFont="1" applyFill="1"/>
    <xf numFmtId="0" fontId="20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2" fillId="0" borderId="0" xfId="4" applyFont="1" applyAlignment="1">
      <alignment horizontal="right" vertical="center" wrapText="1"/>
    </xf>
    <xf numFmtId="0" fontId="28" fillId="2" borderId="0" xfId="4" applyFont="1" applyFill="1" applyAlignment="1">
      <alignment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164" fontId="37" fillId="2" borderId="4" xfId="2" applyNumberFormat="1" applyFont="1" applyFill="1" applyBorder="1" applyAlignment="1">
      <alignment vertical="center" wrapText="1"/>
    </xf>
    <xf numFmtId="164" fontId="37" fillId="2" borderId="2" xfId="2" applyNumberFormat="1" applyFont="1" applyFill="1" applyBorder="1" applyAlignment="1">
      <alignment vertical="center" wrapText="1"/>
    </xf>
    <xf numFmtId="165" fontId="6" fillId="2" borderId="6" xfId="0" applyNumberFormat="1" applyFont="1" applyFill="1" applyBorder="1" applyAlignment="1">
      <alignment horizontal="center" vertical="top" wrapText="1"/>
    </xf>
    <xf numFmtId="0" fontId="39" fillId="0" borderId="0" xfId="0" applyFont="1"/>
    <xf numFmtId="0" fontId="40" fillId="0" borderId="0" xfId="0" applyFont="1" applyAlignment="1">
      <alignment horizontal="center" vertical="center"/>
    </xf>
    <xf numFmtId="169" fontId="0" fillId="2" borderId="0" xfId="0" applyNumberFormat="1" applyFont="1" applyFill="1"/>
    <xf numFmtId="0" fontId="28" fillId="0" borderId="2" xfId="4" applyFont="1" applyBorder="1" applyAlignment="1">
      <alignment vertical="top" wrapText="1"/>
    </xf>
    <xf numFmtId="0" fontId="28" fillId="2" borderId="2" xfId="4" applyFont="1" applyFill="1" applyBorder="1" applyAlignment="1">
      <alignment vertical="top" wrapText="1"/>
    </xf>
    <xf numFmtId="16" fontId="28" fillId="0" borderId="2" xfId="4" applyNumberFormat="1" applyFont="1" applyBorder="1" applyAlignment="1">
      <alignment horizontal="center" vertical="top" wrapText="1"/>
    </xf>
    <xf numFmtId="165" fontId="29" fillId="2" borderId="0" xfId="0" applyNumberFormat="1" applyFont="1" applyFill="1"/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2" xfId="0" applyNumberFormat="1" applyFont="1" applyFill="1" applyBorder="1" applyAlignment="1">
      <alignment horizontal="left" vertical="center" wrapText="1"/>
    </xf>
    <xf numFmtId="169" fontId="29" fillId="2" borderId="0" xfId="0" applyNumberFormat="1" applyFont="1" applyFill="1"/>
    <xf numFmtId="169" fontId="8" fillId="2" borderId="2" xfId="0" applyNumberFormat="1" applyFont="1" applyFill="1" applyBorder="1" applyAlignment="1">
      <alignment horizontal="center" vertical="center" wrapText="1"/>
    </xf>
    <xf numFmtId="169" fontId="29" fillId="2" borderId="2" xfId="0" applyNumberFormat="1" applyFont="1" applyFill="1" applyBorder="1"/>
    <xf numFmtId="169" fontId="8" fillId="2" borderId="2" xfId="0" applyNumberFormat="1" applyFont="1" applyFill="1" applyBorder="1" applyAlignment="1">
      <alignment vertical="center" wrapText="1"/>
    </xf>
    <xf numFmtId="169" fontId="28" fillId="2" borderId="2" xfId="0" applyNumberFormat="1" applyFont="1" applyFill="1" applyBorder="1" applyAlignment="1">
      <alignment horizontal="center" vertical="center" wrapText="1"/>
    </xf>
    <xf numFmtId="169" fontId="8" fillId="2" borderId="2" xfId="0" applyNumberFormat="1" applyFont="1" applyFill="1" applyBorder="1" applyAlignment="1">
      <alignment horizontal="center"/>
    </xf>
    <xf numFmtId="49" fontId="8" fillId="2" borderId="9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169" fontId="6" fillId="2" borderId="2" xfId="0" applyNumberFormat="1" applyFont="1" applyFill="1" applyBorder="1" applyAlignment="1">
      <alignment horizontal="center" vertical="center" wrapText="1"/>
    </xf>
    <xf numFmtId="169" fontId="6" fillId="2" borderId="2" xfId="7" applyNumberFormat="1" applyFont="1" applyFill="1" applyBorder="1" applyAlignment="1">
      <alignment horizontal="center" vertical="center" wrapText="1"/>
    </xf>
    <xf numFmtId="169" fontId="6" fillId="2" borderId="9" xfId="7" applyNumberFormat="1" applyFont="1" applyFill="1" applyBorder="1" applyAlignment="1">
      <alignment horizontal="center" vertical="center" wrapText="1"/>
    </xf>
    <xf numFmtId="169" fontId="8" fillId="2" borderId="9" xfId="7" applyNumberFormat="1" applyFont="1" applyFill="1" applyBorder="1" applyAlignment="1">
      <alignment horizontal="center" vertical="center" wrapText="1"/>
    </xf>
    <xf numFmtId="169" fontId="8" fillId="2" borderId="2" xfId="7" applyNumberFormat="1" applyFont="1" applyFill="1" applyBorder="1"/>
    <xf numFmtId="165" fontId="31" fillId="2" borderId="2" xfId="0" applyNumberFormat="1" applyFont="1" applyFill="1" applyBorder="1" applyAlignment="1">
      <alignment vertical="center" wrapText="1"/>
    </xf>
    <xf numFmtId="165" fontId="28" fillId="2" borderId="2" xfId="0" applyNumberFormat="1" applyFont="1" applyFill="1" applyBorder="1" applyAlignment="1">
      <alignment vertical="center" wrapText="1"/>
    </xf>
    <xf numFmtId="165" fontId="28" fillId="2" borderId="2" xfId="0" applyNumberFormat="1" applyFont="1" applyFill="1" applyBorder="1" applyAlignment="1">
      <alignment horizontal="left" vertical="center" wrapText="1"/>
    </xf>
    <xf numFmtId="169" fontId="6" fillId="2" borderId="2" xfId="0" applyNumberFormat="1" applyFont="1" applyFill="1" applyBorder="1" applyAlignment="1">
      <alignment vertical="center" wrapText="1"/>
    </xf>
    <xf numFmtId="165" fontId="28" fillId="2" borderId="2" xfId="0" applyNumberFormat="1" applyFont="1" applyFill="1" applyBorder="1" applyAlignment="1">
      <alignment vertical="top" wrapText="1"/>
    </xf>
    <xf numFmtId="169" fontId="28" fillId="2" borderId="2" xfId="0" applyNumberFormat="1" applyFont="1" applyFill="1" applyBorder="1" applyAlignment="1">
      <alignment vertical="top" wrapText="1"/>
    </xf>
    <xf numFmtId="169" fontId="6" fillId="2" borderId="8" xfId="7" applyNumberFormat="1" applyFont="1" applyFill="1" applyBorder="1" applyAlignment="1">
      <alignment horizontal="center" vertical="center" wrapText="1"/>
    </xf>
    <xf numFmtId="169" fontId="6" fillId="2" borderId="0" xfId="0" applyNumberFormat="1" applyFont="1" applyFill="1" applyBorder="1" applyAlignment="1">
      <alignment vertical="center" wrapText="1"/>
    </xf>
    <xf numFmtId="169" fontId="29" fillId="2" borderId="9" xfId="0" applyNumberFormat="1" applyFont="1" applyFill="1" applyBorder="1"/>
    <xf numFmtId="169" fontId="6" fillId="2" borderId="9" xfId="0" applyNumberFormat="1" applyFont="1" applyFill="1" applyBorder="1" applyAlignment="1">
      <alignment vertical="center" wrapText="1"/>
    </xf>
    <xf numFmtId="169" fontId="29" fillId="2" borderId="0" xfId="0" applyNumberFormat="1" applyFont="1" applyFill="1" applyBorder="1"/>
    <xf numFmtId="169" fontId="8" fillId="2" borderId="7" xfId="0" applyNumberFormat="1" applyFont="1" applyFill="1" applyBorder="1" applyAlignment="1">
      <alignment horizontal="center" vertical="center" wrapText="1"/>
    </xf>
    <xf numFmtId="169" fontId="29" fillId="2" borderId="7" xfId="0" applyNumberFormat="1" applyFont="1" applyFill="1" applyBorder="1"/>
    <xf numFmtId="169" fontId="8" fillId="2" borderId="9" xfId="0" applyNumberFormat="1" applyFont="1" applyFill="1" applyBorder="1" applyAlignment="1">
      <alignment horizontal="center"/>
    </xf>
    <xf numFmtId="0" fontId="6" fillId="2" borderId="0" xfId="2" applyFont="1" applyFill="1" applyAlignment="1"/>
    <xf numFmtId="0" fontId="6" fillId="2" borderId="0" xfId="2" applyFont="1" applyFill="1"/>
    <xf numFmtId="0" fontId="20" fillId="2" borderId="0" xfId="2" applyFont="1" applyFill="1" applyAlignment="1">
      <alignment horizontal="center"/>
    </xf>
    <xf numFmtId="0" fontId="22" fillId="2" borderId="0" xfId="2" applyFont="1" applyFill="1"/>
    <xf numFmtId="0" fontId="8" fillId="2" borderId="2" xfId="2" applyFont="1" applyFill="1" applyBorder="1" applyAlignment="1">
      <alignment horizontal="center" vertical="center" wrapText="1"/>
    </xf>
    <xf numFmtId="0" fontId="23" fillId="2" borderId="2" xfId="2" applyFont="1" applyFill="1" applyBorder="1" applyAlignment="1">
      <alignment horizontal="center" wrapText="1"/>
    </xf>
    <xf numFmtId="0" fontId="21" fillId="2" borderId="0" xfId="2" applyFill="1"/>
    <xf numFmtId="166" fontId="21" fillId="2" borderId="0" xfId="2" applyNumberFormat="1" applyFill="1"/>
    <xf numFmtId="0" fontId="20" fillId="2" borderId="0" xfId="0" applyFont="1" applyFill="1"/>
    <xf numFmtId="0" fontId="20" fillId="2" borderId="0" xfId="0" applyFont="1" applyFill="1" applyAlignment="1">
      <alignment horizontal="left"/>
    </xf>
    <xf numFmtId="0" fontId="11" fillId="2" borderId="0" xfId="0" applyFont="1" applyFill="1"/>
    <xf numFmtId="0" fontId="20" fillId="2" borderId="0" xfId="0" applyFont="1" applyFill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28" fillId="0" borderId="2" xfId="0" applyFont="1" applyBorder="1" applyAlignment="1">
      <alignment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0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 wrapText="1"/>
    </xf>
    <xf numFmtId="0" fontId="0" fillId="0" borderId="0" xfId="0" applyAlignment="1"/>
    <xf numFmtId="0" fontId="28" fillId="0" borderId="0" xfId="0" applyFont="1" applyAlignment="1">
      <alignment vertical="center"/>
    </xf>
    <xf numFmtId="0" fontId="23" fillId="2" borderId="2" xfId="2" applyFont="1" applyFill="1" applyBorder="1" applyAlignment="1">
      <alignment horizontal="center" wrapText="1"/>
    </xf>
    <xf numFmtId="164" fontId="21" fillId="0" borderId="0" xfId="2" applyNumberFormat="1"/>
    <xf numFmtId="0" fontId="46" fillId="0" borderId="0" xfId="2" applyFont="1"/>
    <xf numFmtId="164" fontId="46" fillId="0" borderId="0" xfId="2" applyNumberFormat="1" applyFont="1"/>
    <xf numFmtId="0" fontId="20" fillId="2" borderId="2" xfId="0" applyFont="1" applyFill="1" applyBorder="1" applyAlignment="1">
      <alignment horizontal="left" vertical="center" wrapText="1"/>
    </xf>
    <xf numFmtId="0" fontId="20" fillId="2" borderId="20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49" fontId="29" fillId="2" borderId="0" xfId="0" applyNumberFormat="1" applyFont="1" applyFill="1" applyBorder="1" applyAlignment="1">
      <alignment horizontal="center" vertical="center"/>
    </xf>
    <xf numFmtId="169" fontId="6" fillId="2" borderId="0" xfId="7" applyNumberFormat="1" applyFont="1" applyFill="1" applyBorder="1" applyAlignment="1">
      <alignment horizontal="center" vertical="center" wrapText="1"/>
    </xf>
    <xf numFmtId="169" fontId="8" fillId="2" borderId="0" xfId="7" applyNumberFormat="1" applyFont="1" applyFill="1" applyBorder="1"/>
    <xf numFmtId="169" fontId="28" fillId="2" borderId="0" xfId="0" applyNumberFormat="1" applyFont="1" applyFill="1" applyBorder="1" applyAlignment="1">
      <alignment horizontal="center" vertical="center" wrapText="1"/>
    </xf>
    <xf numFmtId="169" fontId="8" fillId="2" borderId="0" xfId="0" applyNumberFormat="1" applyFont="1" applyFill="1" applyBorder="1" applyAlignment="1">
      <alignment horizontal="center" vertical="center" wrapText="1"/>
    </xf>
    <xf numFmtId="169" fontId="6" fillId="2" borderId="0" xfId="0" applyNumberFormat="1" applyFont="1" applyFill="1" applyBorder="1" applyAlignment="1">
      <alignment horizontal="center" vertical="center" wrapText="1"/>
    </xf>
    <xf numFmtId="169" fontId="8" fillId="2" borderId="0" xfId="0" applyNumberFormat="1" applyFont="1" applyFill="1" applyBorder="1" applyAlignment="1">
      <alignment horizontal="center"/>
    </xf>
    <xf numFmtId="165" fontId="49" fillId="2" borderId="0" xfId="0" applyNumberFormat="1" applyFont="1" applyFill="1"/>
    <xf numFmtId="0" fontId="21" fillId="5" borderId="0" xfId="2" applyFill="1"/>
    <xf numFmtId="0" fontId="46" fillId="2" borderId="0" xfId="2" applyFont="1" applyFill="1"/>
    <xf numFmtId="0" fontId="26" fillId="2" borderId="0" xfId="2" applyFont="1" applyFill="1"/>
    <xf numFmtId="0" fontId="26" fillId="0" borderId="0" xfId="2" applyFont="1"/>
    <xf numFmtId="165" fontId="26" fillId="2" borderId="0" xfId="0" applyNumberFormat="1" applyFont="1" applyFill="1"/>
    <xf numFmtId="164" fontId="26" fillId="2" borderId="0" xfId="0" applyNumberFormat="1" applyFont="1" applyFill="1" applyAlignment="1">
      <alignment horizontal="center" vertical="center" wrapText="1"/>
    </xf>
    <xf numFmtId="0" fontId="11" fillId="2" borderId="0" xfId="0" applyFont="1" applyFill="1" applyAlignment="1">
      <alignment horizontal="right" vertical="center"/>
    </xf>
    <xf numFmtId="0" fontId="2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vertical="center" wrapText="1"/>
    </xf>
    <xf numFmtId="43" fontId="11" fillId="2" borderId="0" xfId="0" applyNumberFormat="1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left" vertical="center" wrapText="1"/>
    </xf>
    <xf numFmtId="43" fontId="20" fillId="2" borderId="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28" fillId="0" borderId="0" xfId="4" applyFont="1" applyAlignment="1">
      <alignment horizontal="center" vertical="center" wrapText="1"/>
    </xf>
    <xf numFmtId="0" fontId="28" fillId="0" borderId="2" xfId="4" applyFont="1" applyBorder="1" applyAlignment="1">
      <alignment horizontal="center" vertical="top" wrapText="1"/>
    </xf>
    <xf numFmtId="172" fontId="8" fillId="2" borderId="2" xfId="0" applyNumberFormat="1" applyFont="1" applyFill="1" applyBorder="1" applyAlignment="1">
      <alignment horizontal="left" vertical="center" wrapText="1"/>
    </xf>
    <xf numFmtId="172" fontId="0" fillId="2" borderId="0" xfId="0" applyNumberFormat="1" applyFont="1" applyFill="1"/>
    <xf numFmtId="173" fontId="0" fillId="2" borderId="0" xfId="0" applyNumberFormat="1" applyFont="1" applyFill="1"/>
    <xf numFmtId="173" fontId="28" fillId="2" borderId="2" xfId="0" applyNumberFormat="1" applyFont="1" applyFill="1" applyBorder="1" applyAlignment="1">
      <alignment horizontal="left" vertical="center" wrapText="1"/>
    </xf>
    <xf numFmtId="169" fontId="28" fillId="2" borderId="2" xfId="0" applyNumberFormat="1" applyFont="1" applyFill="1" applyBorder="1" applyAlignment="1">
      <alignment horizontal="left" vertical="center" wrapText="1"/>
    </xf>
    <xf numFmtId="174" fontId="0" fillId="2" borderId="0" xfId="0" applyNumberFormat="1" applyFont="1" applyFill="1"/>
    <xf numFmtId="174" fontId="28" fillId="2" borderId="2" xfId="0" applyNumberFormat="1" applyFont="1" applyFill="1" applyBorder="1" applyAlignment="1">
      <alignment horizontal="left" vertical="center" wrapText="1"/>
    </xf>
    <xf numFmtId="169" fontId="6" fillId="2" borderId="0" xfId="0" applyNumberFormat="1" applyFont="1" applyFill="1" applyBorder="1" applyAlignment="1">
      <alignment horizontal="center" vertical="top" wrapText="1"/>
    </xf>
    <xf numFmtId="169" fontId="6" fillId="2" borderId="0" xfId="0" applyNumberFormat="1" applyFont="1" applyFill="1" applyBorder="1" applyAlignment="1">
      <alignment horizontal="center"/>
    </xf>
    <xf numFmtId="165" fontId="50" fillId="2" borderId="0" xfId="0" applyNumberFormat="1" applyFont="1" applyFill="1"/>
    <xf numFmtId="175" fontId="26" fillId="2" borderId="0" xfId="0" applyNumberFormat="1" applyFont="1" applyFill="1" applyAlignment="1">
      <alignment horizontal="center"/>
    </xf>
    <xf numFmtId="165" fontId="28" fillId="2" borderId="4" xfId="0" applyNumberFormat="1" applyFont="1" applyFill="1" applyBorder="1" applyAlignment="1">
      <alignment horizontal="left" vertical="center" wrapText="1"/>
    </xf>
    <xf numFmtId="165" fontId="31" fillId="2" borderId="5" xfId="0" applyNumberFormat="1" applyFont="1" applyFill="1" applyBorder="1" applyAlignment="1">
      <alignment vertical="center" wrapText="1"/>
    </xf>
    <xf numFmtId="175" fontId="34" fillId="2" borderId="7" xfId="2" applyNumberFormat="1" applyFont="1" applyFill="1" applyBorder="1" applyAlignment="1">
      <alignment vertical="center" wrapText="1"/>
    </xf>
    <xf numFmtId="175" fontId="37" fillId="2" borderId="2" xfId="2" applyNumberFormat="1" applyFont="1" applyFill="1" applyBorder="1" applyAlignment="1">
      <alignment vertical="center" wrapText="1"/>
    </xf>
    <xf numFmtId="175" fontId="37" fillId="2" borderId="4" xfId="2" applyNumberFormat="1" applyFont="1" applyFill="1" applyBorder="1" applyAlignment="1">
      <alignment vertical="center" wrapText="1"/>
    </xf>
    <xf numFmtId="175" fontId="37" fillId="2" borderId="5" xfId="2" applyNumberFormat="1" applyFont="1" applyFill="1" applyBorder="1" applyAlignment="1">
      <alignment vertical="center" wrapText="1"/>
    </xf>
    <xf numFmtId="177" fontId="20" fillId="2" borderId="0" xfId="0" applyNumberFormat="1" applyFont="1" applyFill="1"/>
    <xf numFmtId="177" fontId="11" fillId="2" borderId="0" xfId="0" applyNumberFormat="1" applyFont="1" applyFill="1"/>
    <xf numFmtId="177" fontId="44" fillId="2" borderId="0" xfId="0" applyNumberFormat="1" applyFont="1" applyFill="1" applyAlignment="1">
      <alignment horizontal="right" vertical="center"/>
    </xf>
    <xf numFmtId="177" fontId="11" fillId="2" borderId="23" xfId="0" applyNumberFormat="1" applyFont="1" applyFill="1" applyBorder="1" applyAlignment="1">
      <alignment horizontal="center" vertical="center" wrapText="1"/>
    </xf>
    <xf numFmtId="177" fontId="20" fillId="2" borderId="23" xfId="0" applyNumberFormat="1" applyFont="1" applyFill="1" applyBorder="1" applyAlignment="1">
      <alignment horizontal="center" vertical="center" wrapText="1"/>
    </xf>
    <xf numFmtId="49" fontId="20" fillId="2" borderId="23" xfId="0" applyNumberFormat="1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175" fontId="37" fillId="2" borderId="4" xfId="2" applyNumberFormat="1" applyFont="1" applyFill="1" applyBorder="1" applyAlignment="1">
      <alignment vertical="center" wrapText="1"/>
    </xf>
    <xf numFmtId="175" fontId="37" fillId="2" borderId="5" xfId="2" applyNumberFormat="1" applyFont="1" applyFill="1" applyBorder="1" applyAlignment="1">
      <alignment vertical="center" wrapText="1"/>
    </xf>
    <xf numFmtId="0" fontId="23" fillId="2" borderId="2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175" fontId="32" fillId="2" borderId="7" xfId="2" applyNumberFormat="1" applyFont="1" applyFill="1" applyBorder="1" applyAlignment="1">
      <alignment vertical="center" wrapText="1"/>
    </xf>
    <xf numFmtId="175" fontId="32" fillId="2" borderId="2" xfId="2" applyNumberFormat="1" applyFont="1" applyFill="1" applyBorder="1" applyAlignment="1">
      <alignment vertical="center" wrapText="1"/>
    </xf>
    <xf numFmtId="175" fontId="43" fillId="2" borderId="2" xfId="2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vertical="center" wrapText="1"/>
    </xf>
    <xf numFmtId="175" fontId="43" fillId="2" borderId="5" xfId="2" applyNumberFormat="1" applyFont="1" applyFill="1" applyBorder="1" applyAlignment="1">
      <alignment vertical="center" wrapText="1"/>
    </xf>
    <xf numFmtId="0" fontId="43" fillId="2" borderId="2" xfId="2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vertical="center" wrapText="1"/>
    </xf>
    <xf numFmtId="175" fontId="43" fillId="2" borderId="7" xfId="2" applyNumberFormat="1" applyFont="1" applyFill="1" applyBorder="1" applyAlignment="1">
      <alignment horizontal="center" vertical="center" wrapText="1"/>
    </xf>
    <xf numFmtId="164" fontId="43" fillId="2" borderId="7" xfId="2" applyNumberFormat="1" applyFont="1" applyFill="1" applyBorder="1" applyAlignment="1">
      <alignment horizontal="center" vertical="center" wrapText="1"/>
    </xf>
    <xf numFmtId="175" fontId="26" fillId="2" borderId="0" xfId="0" applyNumberFormat="1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1" fontId="8" fillId="2" borderId="2" xfId="0" applyNumberFormat="1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28" fillId="0" borderId="0" xfId="4" applyFont="1" applyAlignment="1">
      <alignment horizontal="center" vertical="center" wrapText="1"/>
    </xf>
    <xf numFmtId="171" fontId="35" fillId="2" borderId="2" xfId="0" applyNumberFormat="1" applyFont="1" applyFill="1" applyBorder="1" applyAlignment="1">
      <alignment horizontal="center" vertical="center" wrapText="1"/>
    </xf>
    <xf numFmtId="2" fontId="35" fillId="2" borderId="2" xfId="16" applyNumberFormat="1" applyFont="1" applyFill="1" applyBorder="1" applyAlignment="1">
      <alignment horizontal="center" vertical="center" wrapText="1"/>
    </xf>
    <xf numFmtId="43" fontId="35" fillId="2" borderId="2" xfId="16" applyNumberFormat="1" applyFont="1" applyFill="1" applyBorder="1" applyAlignment="1">
      <alignment horizontal="center" vertical="center" wrapText="1"/>
    </xf>
    <xf numFmtId="0" fontId="28" fillId="0" borderId="0" xfId="17" applyFont="1" applyAlignment="1">
      <alignment horizontal="center" vertical="center"/>
    </xf>
    <xf numFmtId="171" fontId="36" fillId="0" borderId="2" xfId="0" applyNumberFormat="1" applyFont="1" applyBorder="1" applyAlignment="1">
      <alignment horizontal="center" vertical="center" wrapText="1"/>
    </xf>
    <xf numFmtId="179" fontId="28" fillId="2" borderId="2" xfId="16" applyNumberFormat="1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0" fontId="28" fillId="0" borderId="2" xfId="4" applyFont="1" applyBorder="1" applyAlignment="1">
      <alignment vertical="center" wrapText="1"/>
    </xf>
    <xf numFmtId="0" fontId="28" fillId="0" borderId="2" xfId="4" applyFont="1" applyBorder="1" applyAlignment="1">
      <alignment horizontal="center" vertical="center" wrapText="1"/>
    </xf>
    <xf numFmtId="0" fontId="28" fillId="0" borderId="2" xfId="4" applyFont="1" applyBorder="1" applyAlignment="1">
      <alignment horizontal="left" vertical="center" wrapText="1"/>
    </xf>
    <xf numFmtId="179" fontId="28" fillId="0" borderId="2" xfId="16" applyNumberFormat="1" applyFont="1" applyBorder="1" applyAlignment="1">
      <alignment horizontal="center" vertical="center" wrapText="1"/>
    </xf>
    <xf numFmtId="179" fontId="8" fillId="2" borderId="2" xfId="16" applyNumberFormat="1" applyFont="1" applyFill="1" applyBorder="1" applyAlignment="1">
      <alignment horizontal="center" vertical="center" wrapText="1"/>
    </xf>
    <xf numFmtId="169" fontId="31" fillId="2" borderId="2" xfId="0" applyNumberFormat="1" applyFont="1" applyFill="1" applyBorder="1" applyAlignment="1">
      <alignment horizontal="center" vertical="center" wrapText="1"/>
    </xf>
    <xf numFmtId="169" fontId="31" fillId="2" borderId="0" xfId="0" applyNumberFormat="1" applyFont="1" applyFill="1" applyBorder="1" applyAlignment="1">
      <alignment horizontal="center" vertical="center" wrapText="1"/>
    </xf>
    <xf numFmtId="169" fontId="28" fillId="2" borderId="2" xfId="0" applyNumberFormat="1" applyFont="1" applyFill="1" applyBorder="1" applyAlignment="1">
      <alignment horizontal="center" vertical="top" wrapText="1"/>
    </xf>
    <xf numFmtId="169" fontId="28" fillId="2" borderId="0" xfId="0" applyNumberFormat="1" applyFont="1" applyFill="1" applyBorder="1" applyAlignment="1">
      <alignment horizontal="center" vertical="top" wrapText="1"/>
    </xf>
    <xf numFmtId="169" fontId="8" fillId="2" borderId="0" xfId="0" applyNumberFormat="1" applyFont="1" applyFill="1" applyBorder="1" applyAlignment="1">
      <alignment vertical="center" wrapText="1"/>
    </xf>
    <xf numFmtId="178" fontId="11" fillId="2" borderId="23" xfId="0" applyNumberFormat="1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178" fontId="20" fillId="2" borderId="23" xfId="0" applyNumberFormat="1" applyFont="1" applyFill="1" applyBorder="1" applyAlignment="1">
      <alignment horizontal="center" vertical="center" wrapText="1"/>
    </xf>
    <xf numFmtId="175" fontId="49" fillId="2" borderId="0" xfId="0" applyNumberFormat="1" applyFont="1" applyFill="1" applyAlignment="1">
      <alignment horizontal="center"/>
    </xf>
    <xf numFmtId="175" fontId="25" fillId="2" borderId="0" xfId="0" applyNumberFormat="1" applyFont="1" applyFill="1" applyBorder="1" applyAlignment="1">
      <alignment horizontal="center" vertical="top" wrapText="1"/>
    </xf>
    <xf numFmtId="164" fontId="25" fillId="2" borderId="0" xfId="0" applyNumberFormat="1" applyFont="1" applyFill="1" applyBorder="1" applyAlignment="1">
      <alignment horizontal="center" vertical="top" wrapText="1"/>
    </xf>
    <xf numFmtId="175" fontId="26" fillId="2" borderId="0" xfId="0" applyNumberFormat="1" applyFont="1" applyFill="1" applyBorder="1" applyAlignment="1">
      <alignment horizontal="center" vertical="top" wrapText="1"/>
    </xf>
    <xf numFmtId="164" fontId="26" fillId="2" borderId="2" xfId="0" applyNumberFormat="1" applyFont="1" applyFill="1" applyBorder="1" applyAlignment="1">
      <alignment horizontal="center" vertical="center" wrapText="1"/>
    </xf>
    <xf numFmtId="175" fontId="26" fillId="2" borderId="2" xfId="0" applyNumberFormat="1" applyFont="1" applyFill="1" applyBorder="1" applyAlignment="1">
      <alignment horizontal="center" vertical="center" wrapText="1"/>
    </xf>
    <xf numFmtId="175" fontId="26" fillId="2" borderId="2" xfId="0" applyNumberFormat="1" applyFont="1" applyFill="1" applyBorder="1" applyAlignment="1">
      <alignment horizontal="center" vertical="center"/>
    </xf>
    <xf numFmtId="175" fontId="26" fillId="2" borderId="2" xfId="0" applyNumberFormat="1" applyFont="1" applyFill="1" applyBorder="1" applyAlignment="1">
      <alignment horizontal="center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175" fontId="25" fillId="2" borderId="2" xfId="0" applyNumberFormat="1" applyFont="1" applyFill="1" applyBorder="1" applyAlignment="1">
      <alignment horizontal="center" vertical="center" wrapText="1"/>
    </xf>
    <xf numFmtId="164" fontId="25" fillId="2" borderId="2" xfId="0" applyNumberFormat="1" applyFont="1" applyFill="1" applyBorder="1" applyAlignment="1">
      <alignment horizontal="center" vertical="center" wrapText="1"/>
    </xf>
    <xf numFmtId="175" fontId="25" fillId="2" borderId="2" xfId="7" applyNumberFormat="1" applyFont="1" applyFill="1" applyBorder="1" applyAlignment="1">
      <alignment horizontal="center" vertical="center" wrapText="1"/>
    </xf>
    <xf numFmtId="175" fontId="26" fillId="2" borderId="2" xfId="7" applyNumberFormat="1" applyFont="1" applyFill="1" applyBorder="1" applyAlignment="1">
      <alignment horizontal="center" vertical="center" wrapText="1"/>
    </xf>
    <xf numFmtId="175" fontId="47" fillId="2" borderId="2" xfId="0" applyNumberFormat="1" applyFont="1" applyFill="1" applyBorder="1" applyAlignment="1">
      <alignment horizontal="center" vertical="center" wrapText="1"/>
    </xf>
    <xf numFmtId="175" fontId="47" fillId="2" borderId="2" xfId="7" applyNumberFormat="1" applyFont="1" applyFill="1" applyBorder="1" applyAlignment="1">
      <alignment horizontal="center" vertical="center" wrapText="1"/>
    </xf>
    <xf numFmtId="164" fontId="47" fillId="2" borderId="2" xfId="0" applyNumberFormat="1" applyFont="1" applyFill="1" applyBorder="1" applyAlignment="1">
      <alignment horizontal="center" vertical="center" wrapText="1"/>
    </xf>
    <xf numFmtId="175" fontId="51" fillId="2" borderId="2" xfId="0" applyNumberFormat="1" applyFont="1" applyFill="1" applyBorder="1" applyAlignment="1">
      <alignment horizontal="center" vertical="center" wrapText="1"/>
    </xf>
    <xf numFmtId="164" fontId="26" fillId="2" borderId="2" xfId="2" applyNumberFormat="1" applyFont="1" applyFill="1" applyBorder="1" applyAlignment="1">
      <alignment horizontal="center" vertical="center" wrapText="1"/>
    </xf>
    <xf numFmtId="175" fontId="26" fillId="2" borderId="2" xfId="2" applyNumberFormat="1" applyFont="1" applyFill="1" applyBorder="1" applyAlignment="1">
      <alignment horizontal="center" vertical="center" wrapText="1"/>
    </xf>
    <xf numFmtId="176" fontId="26" fillId="2" borderId="0" xfId="2" applyNumberFormat="1" applyFont="1" applyFill="1"/>
    <xf numFmtId="164" fontId="51" fillId="2" borderId="2" xfId="0" applyNumberFormat="1" applyFont="1" applyFill="1" applyBorder="1" applyAlignment="1">
      <alignment horizontal="center" vertical="center" wrapText="1"/>
    </xf>
    <xf numFmtId="175" fontId="51" fillId="2" borderId="2" xfId="7" applyNumberFormat="1" applyFont="1" applyFill="1" applyBorder="1" applyAlignment="1">
      <alignment horizontal="center" vertical="center" wrapText="1"/>
    </xf>
    <xf numFmtId="175" fontId="47" fillId="2" borderId="4" xfId="0" applyNumberFormat="1" applyFont="1" applyFill="1" applyBorder="1" applyAlignment="1">
      <alignment horizontal="center" vertical="center" wrapText="1"/>
    </xf>
    <xf numFmtId="164" fontId="26" fillId="2" borderId="4" xfId="0" applyNumberFormat="1" applyFont="1" applyFill="1" applyBorder="1" applyAlignment="1">
      <alignment horizontal="center" vertical="center" wrapText="1"/>
    </xf>
    <xf numFmtId="175" fontId="26" fillId="2" borderId="4" xfId="0" applyNumberFormat="1" applyFont="1" applyFill="1" applyBorder="1" applyAlignment="1">
      <alignment horizontal="center" vertical="center" wrapText="1"/>
    </xf>
    <xf numFmtId="175" fontId="26" fillId="2" borderId="2" xfId="0" applyNumberFormat="1" applyFont="1" applyFill="1" applyBorder="1" applyAlignment="1">
      <alignment horizontal="right" vertical="center" wrapText="1"/>
    </xf>
    <xf numFmtId="164" fontId="47" fillId="2" borderId="5" xfId="0" applyNumberFormat="1" applyFont="1" applyFill="1" applyBorder="1" applyAlignment="1">
      <alignment horizontal="center" vertical="center" wrapText="1"/>
    </xf>
    <xf numFmtId="175" fontId="26" fillId="2" borderId="5" xfId="0" applyNumberFormat="1" applyFont="1" applyFill="1" applyBorder="1" applyAlignment="1">
      <alignment horizontal="center" vertical="center" wrapText="1"/>
    </xf>
    <xf numFmtId="175" fontId="47" fillId="2" borderId="5" xfId="0" applyNumberFormat="1" applyFont="1" applyFill="1" applyBorder="1" applyAlignment="1">
      <alignment horizontal="center" vertical="center" wrapText="1"/>
    </xf>
    <xf numFmtId="175" fontId="51" fillId="2" borderId="5" xfId="0" applyNumberFormat="1" applyFont="1" applyFill="1" applyBorder="1" applyAlignment="1">
      <alignment horizontal="center" vertical="center" wrapText="1"/>
    </xf>
    <xf numFmtId="164" fontId="51" fillId="2" borderId="5" xfId="0" applyNumberFormat="1" applyFont="1" applyFill="1" applyBorder="1" applyAlignment="1">
      <alignment horizontal="center" vertical="center" wrapText="1"/>
    </xf>
    <xf numFmtId="175" fontId="25" fillId="2" borderId="5" xfId="0" applyNumberFormat="1" applyFont="1" applyFill="1" applyBorder="1" applyAlignment="1">
      <alignment horizontal="center" vertical="center" wrapText="1"/>
    </xf>
    <xf numFmtId="175" fontId="47" fillId="2" borderId="2" xfId="0" applyNumberFormat="1" applyFont="1" applyFill="1" applyBorder="1" applyAlignment="1">
      <alignment horizontal="center" vertical="top" wrapText="1"/>
    </xf>
    <xf numFmtId="175" fontId="49" fillId="2" borderId="2" xfId="0" applyNumberFormat="1" applyFont="1" applyFill="1" applyBorder="1" applyAlignment="1">
      <alignment horizontal="center"/>
    </xf>
    <xf numFmtId="175" fontId="47" fillId="2" borderId="2" xfId="0" applyNumberFormat="1" applyFont="1" applyFill="1" applyBorder="1" applyAlignment="1">
      <alignment horizontal="right"/>
    </xf>
    <xf numFmtId="175" fontId="47" fillId="2" borderId="2" xfId="0" applyNumberFormat="1" applyFont="1" applyFill="1" applyBorder="1" applyAlignment="1">
      <alignment horizontal="center"/>
    </xf>
    <xf numFmtId="175" fontId="52" fillId="2" borderId="2" xfId="0" applyNumberFormat="1" applyFont="1" applyFill="1" applyBorder="1" applyAlignment="1">
      <alignment horizontal="center"/>
    </xf>
    <xf numFmtId="175" fontId="26" fillId="2" borderId="2" xfId="0" applyNumberFormat="1" applyFont="1" applyFill="1" applyBorder="1" applyAlignment="1">
      <alignment horizontal="center" vertical="top" wrapText="1"/>
    </xf>
    <xf numFmtId="164" fontId="47" fillId="2" borderId="2" xfId="0" applyNumberFormat="1" applyFont="1" applyFill="1" applyBorder="1" applyAlignment="1">
      <alignment horizontal="center" vertical="top" wrapText="1"/>
    </xf>
    <xf numFmtId="175" fontId="49" fillId="2" borderId="2" xfId="0" applyNumberFormat="1" applyFont="1" applyFill="1" applyBorder="1" applyAlignment="1">
      <alignment horizontal="center" vertical="center"/>
    </xf>
    <xf numFmtId="164" fontId="49" fillId="2" borderId="0" xfId="0" applyNumberFormat="1" applyFont="1" applyFill="1" applyBorder="1" applyAlignment="1">
      <alignment horizontal="center" vertical="center" wrapText="1"/>
    </xf>
    <xf numFmtId="175" fontId="49" fillId="2" borderId="0" xfId="0" applyNumberFormat="1" applyFont="1" applyFill="1" applyBorder="1" applyAlignment="1">
      <alignment horizontal="center" vertical="center" wrapText="1"/>
    </xf>
    <xf numFmtId="175" fontId="49" fillId="2" borderId="0" xfId="0" applyNumberFormat="1" applyFont="1" applyFill="1"/>
    <xf numFmtId="175" fontId="49" fillId="2" borderId="0" xfId="0" applyNumberFormat="1" applyFont="1" applyFill="1" applyAlignment="1">
      <alignment horizontal="center" vertical="center" wrapText="1"/>
    </xf>
    <xf numFmtId="164" fontId="49" fillId="2" borderId="0" xfId="0" applyNumberFormat="1" applyFont="1" applyFill="1" applyAlignment="1">
      <alignment horizontal="center" vertical="center" wrapText="1"/>
    </xf>
    <xf numFmtId="175" fontId="53" fillId="2" borderId="0" xfId="0" applyNumberFormat="1" applyFont="1" applyFill="1" applyAlignment="1">
      <alignment horizontal="center" vertical="center" wrapText="1"/>
    </xf>
    <xf numFmtId="164" fontId="53" fillId="2" borderId="0" xfId="0" applyNumberFormat="1" applyFont="1" applyFill="1" applyAlignment="1">
      <alignment horizontal="center" vertical="center" wrapText="1"/>
    </xf>
    <xf numFmtId="175" fontId="54" fillId="2" borderId="0" xfId="0" applyNumberFormat="1" applyFont="1" applyFill="1" applyAlignment="1">
      <alignment horizontal="center" vertical="center" wrapText="1"/>
    </xf>
    <xf numFmtId="175" fontId="55" fillId="2" borderId="0" xfId="0" applyNumberFormat="1" applyFont="1" applyFill="1" applyAlignment="1">
      <alignment horizontal="center" vertical="center" wrapText="1"/>
    </xf>
    <xf numFmtId="165" fontId="6" fillId="2" borderId="2" xfId="0" applyNumberFormat="1" applyFont="1" applyFill="1" applyBorder="1" applyAlignment="1">
      <alignment vertical="top" wrapText="1"/>
    </xf>
    <xf numFmtId="165" fontId="6" fillId="2" borderId="2" xfId="0" applyNumberFormat="1" applyFont="1" applyFill="1" applyBorder="1" applyAlignment="1">
      <alignment horizontal="left" vertical="center" wrapText="1"/>
    </xf>
    <xf numFmtId="43" fontId="20" fillId="2" borderId="0" xfId="0" applyNumberFormat="1" applyFont="1" applyFill="1"/>
    <xf numFmtId="43" fontId="11" fillId="2" borderId="23" xfId="0" applyNumberFormat="1" applyFont="1" applyFill="1" applyBorder="1" applyAlignment="1">
      <alignment horizontal="center" vertical="center" wrapText="1"/>
    </xf>
    <xf numFmtId="43" fontId="20" fillId="2" borderId="23" xfId="0" applyNumberFormat="1" applyFont="1" applyFill="1" applyBorder="1" applyAlignment="1">
      <alignment horizontal="center" vertical="center" wrapText="1"/>
    </xf>
    <xf numFmtId="0" fontId="20" fillId="2" borderId="23" xfId="0" applyNumberFormat="1" applyFont="1" applyFill="1" applyBorder="1" applyAlignment="1">
      <alignment horizontal="left" vertical="center" wrapText="1" indent="8"/>
    </xf>
    <xf numFmtId="171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43" fontId="28" fillId="0" borderId="7" xfId="17" applyNumberFormat="1" applyFont="1" applyBorder="1" applyAlignment="1">
      <alignment horizontal="center" vertical="center" wrapText="1" shrinkToFit="1"/>
    </xf>
    <xf numFmtId="43" fontId="28" fillId="0" borderId="8" xfId="17" applyNumberFormat="1" applyFont="1" applyBorder="1" applyAlignment="1">
      <alignment horizontal="center" vertical="center" wrapText="1" shrinkToFit="1"/>
    </xf>
    <xf numFmtId="43" fontId="28" fillId="0" borderId="9" xfId="17" applyNumberFormat="1" applyFont="1" applyBorder="1" applyAlignment="1">
      <alignment horizontal="center" vertical="center" wrapText="1" shrinkToFit="1"/>
    </xf>
    <xf numFmtId="0" fontId="28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47" fillId="2" borderId="4" xfId="0" applyNumberFormat="1" applyFont="1" applyFill="1" applyBorder="1" applyAlignment="1">
      <alignment horizontal="center" vertical="center" wrapText="1"/>
    </xf>
    <xf numFmtId="165" fontId="47" fillId="2" borderId="3" xfId="0" applyNumberFormat="1" applyFont="1" applyFill="1" applyBorder="1" applyAlignment="1">
      <alignment horizontal="center" vertical="center" wrapText="1"/>
    </xf>
    <xf numFmtId="165" fontId="47" fillId="2" borderId="5" xfId="0" applyNumberFormat="1" applyFont="1" applyFill="1" applyBorder="1" applyAlignment="1">
      <alignment horizontal="center" vertical="center" wrapText="1"/>
    </xf>
    <xf numFmtId="175" fontId="26" fillId="2" borderId="4" xfId="0" applyNumberFormat="1" applyFont="1" applyFill="1" applyBorder="1" applyAlignment="1">
      <alignment horizontal="center" vertical="top" wrapText="1"/>
    </xf>
    <xf numFmtId="175" fontId="26" fillId="2" borderId="3" xfId="0" applyNumberFormat="1" applyFont="1" applyFill="1" applyBorder="1" applyAlignment="1">
      <alignment horizontal="center" vertical="top" wrapText="1"/>
    </xf>
    <xf numFmtId="175" fontId="26" fillId="2" borderId="5" xfId="0" applyNumberFormat="1" applyFont="1" applyFill="1" applyBorder="1" applyAlignment="1">
      <alignment horizontal="center" vertical="top" wrapText="1"/>
    </xf>
    <xf numFmtId="165" fontId="28" fillId="2" borderId="4" xfId="0" applyNumberFormat="1" applyFont="1" applyFill="1" applyBorder="1" applyAlignment="1">
      <alignment horizontal="center" vertical="center" wrapText="1"/>
    </xf>
    <xf numFmtId="165" fontId="28" fillId="2" borderId="3" xfId="0" applyNumberFormat="1" applyFont="1" applyFill="1" applyBorder="1" applyAlignment="1">
      <alignment horizontal="center" vertical="center" wrapText="1"/>
    </xf>
    <xf numFmtId="165" fontId="28" fillId="2" borderId="5" xfId="0" applyNumberFormat="1" applyFont="1" applyFill="1" applyBorder="1" applyAlignment="1">
      <alignment horizontal="center" vertical="center" wrapText="1"/>
    </xf>
    <xf numFmtId="165" fontId="47" fillId="2" borderId="2" xfId="0" applyNumberFormat="1" applyFont="1" applyFill="1" applyBorder="1" applyAlignment="1">
      <alignment horizontal="center" vertical="center" wrapText="1"/>
    </xf>
    <xf numFmtId="165" fontId="28" fillId="2" borderId="2" xfId="0" applyNumberFormat="1" applyFont="1" applyFill="1" applyBorder="1" applyAlignment="1">
      <alignment horizontal="center" vertical="center" wrapText="1"/>
    </xf>
    <xf numFmtId="165" fontId="26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right" vertical="top" wrapText="1"/>
    </xf>
    <xf numFmtId="165" fontId="44" fillId="2" borderId="0" xfId="0" applyNumberFormat="1" applyFont="1" applyFill="1" applyBorder="1" applyAlignment="1">
      <alignment horizontal="center" vertical="top" wrapText="1"/>
    </xf>
    <xf numFmtId="164" fontId="26" fillId="2" borderId="2" xfId="0" applyNumberFormat="1" applyFont="1" applyFill="1" applyBorder="1" applyAlignment="1">
      <alignment horizontal="left" vertical="center" wrapText="1"/>
    </xf>
    <xf numFmtId="164" fontId="2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top" wrapText="1"/>
    </xf>
    <xf numFmtId="175" fontId="26" fillId="2" borderId="2" xfId="0" applyNumberFormat="1" applyFont="1" applyFill="1" applyBorder="1" applyAlignment="1">
      <alignment horizontal="center" vertical="center" wrapText="1"/>
    </xf>
    <xf numFmtId="0" fontId="26" fillId="2" borderId="0" xfId="0" applyNumberFormat="1" applyFont="1" applyFill="1" applyAlignment="1">
      <alignment horizontal="left" vertical="top" wrapText="1"/>
    </xf>
    <xf numFmtId="165" fontId="6" fillId="2" borderId="2" xfId="0" applyNumberFormat="1" applyFont="1" applyFill="1" applyBorder="1" applyAlignment="1">
      <alignment horizontal="center"/>
    </xf>
    <xf numFmtId="170" fontId="26" fillId="2" borderId="2" xfId="0" applyNumberFormat="1" applyFont="1" applyFill="1" applyBorder="1" applyAlignment="1">
      <alignment horizontal="center" vertical="center" wrapText="1"/>
    </xf>
    <xf numFmtId="165" fontId="26" fillId="2" borderId="2" xfId="0" applyNumberFormat="1" applyFont="1" applyFill="1" applyBorder="1" applyAlignment="1">
      <alignment horizontal="left" vertical="center" wrapText="1"/>
    </xf>
    <xf numFmtId="165" fontId="26" fillId="2" borderId="2" xfId="0" applyNumberFormat="1" applyFont="1" applyFill="1" applyBorder="1" applyAlignment="1">
      <alignment horizontal="left" vertical="top" wrapText="1"/>
    </xf>
    <xf numFmtId="165" fontId="31" fillId="2" borderId="2" xfId="0" applyNumberFormat="1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 vertical="center" wrapText="1"/>
    </xf>
    <xf numFmtId="165" fontId="26" fillId="2" borderId="0" xfId="0" applyNumberFormat="1" applyFont="1" applyFill="1" applyAlignment="1">
      <alignment horizontal="left" wrapText="1"/>
    </xf>
    <xf numFmtId="0" fontId="26" fillId="0" borderId="0" xfId="2" applyFont="1" applyAlignment="1">
      <alignment horizontal="left" wrapText="1"/>
    </xf>
    <xf numFmtId="0" fontId="56" fillId="2" borderId="0" xfId="2" applyFont="1" applyFill="1" applyAlignment="1">
      <alignment horizontal="center"/>
    </xf>
    <xf numFmtId="0" fontId="23" fillId="2" borderId="2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wrapText="1"/>
    </xf>
    <xf numFmtId="0" fontId="23" fillId="2" borderId="7" xfId="2" applyFont="1" applyFill="1" applyBorder="1" applyAlignment="1">
      <alignment horizontal="left" vertical="center" wrapText="1"/>
    </xf>
    <xf numFmtId="0" fontId="23" fillId="2" borderId="8" xfId="2" applyFont="1" applyFill="1" applyBorder="1" applyAlignment="1">
      <alignment horizontal="left" vertical="center" wrapText="1"/>
    </xf>
    <xf numFmtId="0" fontId="23" fillId="2" borderId="9" xfId="2" applyFont="1" applyFill="1" applyBorder="1" applyAlignment="1">
      <alignment horizontal="left" vertical="center" wrapText="1"/>
    </xf>
    <xf numFmtId="0" fontId="45" fillId="2" borderId="2" xfId="2" applyFont="1" applyFill="1" applyBorder="1" applyAlignment="1">
      <alignment horizontal="center" vertical="center" wrapText="1"/>
    </xf>
    <xf numFmtId="0" fontId="23" fillId="2" borderId="10" xfId="2" applyFont="1" applyFill="1" applyBorder="1" applyAlignment="1">
      <alignment horizontal="center" vertical="center" wrapText="1"/>
    </xf>
    <xf numFmtId="0" fontId="23" fillId="2" borderId="1" xfId="2" applyFont="1" applyFill="1" applyBorder="1" applyAlignment="1">
      <alignment horizontal="center" vertical="center" wrapText="1"/>
    </xf>
    <xf numFmtId="0" fontId="23" fillId="2" borderId="11" xfId="2" applyFont="1" applyFill="1" applyBorder="1" applyAlignment="1">
      <alignment horizontal="center" vertical="center" wrapText="1"/>
    </xf>
    <xf numFmtId="0" fontId="23" fillId="2" borderId="12" xfId="2" applyFont="1" applyFill="1" applyBorder="1" applyAlignment="1">
      <alignment horizontal="center" vertical="center" wrapText="1"/>
    </xf>
    <xf numFmtId="0" fontId="23" fillId="2" borderId="6" xfId="2" applyFont="1" applyFill="1" applyBorder="1" applyAlignment="1">
      <alignment horizontal="center" vertical="center" wrapText="1"/>
    </xf>
    <xf numFmtId="0" fontId="23" fillId="2" borderId="13" xfId="2" applyFont="1" applyFill="1" applyBorder="1" applyAlignment="1">
      <alignment horizontal="center" vertical="center" wrapText="1"/>
    </xf>
    <xf numFmtId="0" fontId="23" fillId="2" borderId="4" xfId="2" applyFont="1" applyFill="1" applyBorder="1" applyAlignment="1">
      <alignment horizontal="center" vertical="center" wrapText="1"/>
    </xf>
    <xf numFmtId="0" fontId="23" fillId="2" borderId="3" xfId="2" applyFont="1" applyFill="1" applyBorder="1" applyAlignment="1">
      <alignment horizontal="center" vertical="center" wrapText="1"/>
    </xf>
    <xf numFmtId="0" fontId="23" fillId="2" borderId="5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26" fillId="2" borderId="0" xfId="2" applyFont="1" applyFill="1" applyAlignment="1">
      <alignment horizontal="left" vertical="top" wrapText="1"/>
    </xf>
    <xf numFmtId="0" fontId="8" fillId="2" borderId="2" xfId="2" applyFont="1" applyFill="1" applyBorder="1" applyAlignment="1">
      <alignment horizontal="center" vertical="top" wrapText="1"/>
    </xf>
    <xf numFmtId="0" fontId="8" fillId="2" borderId="7" xfId="2" applyFont="1" applyFill="1" applyBorder="1" applyAlignment="1">
      <alignment horizontal="center" vertical="top" wrapText="1"/>
    </xf>
    <xf numFmtId="0" fontId="8" fillId="2" borderId="8" xfId="2" applyFont="1" applyFill="1" applyBorder="1" applyAlignment="1">
      <alignment horizontal="center" vertical="top" wrapText="1"/>
    </xf>
    <xf numFmtId="0" fontId="8" fillId="2" borderId="9" xfId="2" applyFont="1" applyFill="1" applyBorder="1" applyAlignment="1">
      <alignment horizontal="center" vertical="top" wrapText="1"/>
    </xf>
    <xf numFmtId="166" fontId="21" fillId="2" borderId="1" xfId="2" applyNumberFormat="1" applyFill="1" applyBorder="1" applyAlignment="1">
      <alignment horizontal="center" wrapText="1"/>
    </xf>
    <xf numFmtId="175" fontId="37" fillId="2" borderId="4" xfId="2" applyNumberFormat="1" applyFont="1" applyFill="1" applyBorder="1" applyAlignment="1">
      <alignment vertical="center" wrapText="1"/>
    </xf>
    <xf numFmtId="175" fontId="37" fillId="2" borderId="3" xfId="2" applyNumberFormat="1" applyFont="1" applyFill="1" applyBorder="1" applyAlignment="1">
      <alignment vertical="center" wrapText="1"/>
    </xf>
    <xf numFmtId="175" fontId="37" fillId="2" borderId="5" xfId="2" applyNumberFormat="1" applyFont="1" applyFill="1" applyBorder="1" applyAlignment="1">
      <alignment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top" wrapText="1"/>
    </xf>
    <xf numFmtId="0" fontId="8" fillId="2" borderId="1" xfId="2" applyFont="1" applyFill="1" applyBorder="1" applyAlignment="1">
      <alignment horizontal="center" vertical="top" wrapText="1"/>
    </xf>
    <xf numFmtId="0" fontId="8" fillId="2" borderId="11" xfId="2" applyFont="1" applyFill="1" applyBorder="1" applyAlignment="1">
      <alignment horizontal="center" vertical="top" wrapText="1"/>
    </xf>
    <xf numFmtId="0" fontId="8" fillId="2" borderId="14" xfId="2" applyFont="1" applyFill="1" applyBorder="1" applyAlignment="1">
      <alignment horizontal="center" vertical="top" wrapText="1"/>
    </xf>
    <xf numFmtId="0" fontId="8" fillId="2" borderId="0" xfId="2" applyFont="1" applyFill="1" applyBorder="1" applyAlignment="1">
      <alignment horizontal="center" vertical="top" wrapText="1"/>
    </xf>
    <xf numFmtId="0" fontId="8" fillId="2" borderId="15" xfId="2" applyFont="1" applyFill="1" applyBorder="1" applyAlignment="1">
      <alignment horizontal="center" vertical="top" wrapText="1"/>
    </xf>
    <xf numFmtId="0" fontId="8" fillId="2" borderId="12" xfId="2" applyFont="1" applyFill="1" applyBorder="1" applyAlignment="1">
      <alignment horizontal="center" vertical="top" wrapText="1"/>
    </xf>
    <xf numFmtId="0" fontId="8" fillId="2" borderId="6" xfId="2" applyFont="1" applyFill="1" applyBorder="1" applyAlignment="1">
      <alignment horizontal="center" vertical="top" wrapText="1"/>
    </xf>
    <xf numFmtId="0" fontId="8" fillId="2" borderId="13" xfId="2" applyFont="1" applyFill="1" applyBorder="1" applyAlignment="1">
      <alignment horizontal="center" vertical="top" wrapText="1"/>
    </xf>
    <xf numFmtId="0" fontId="37" fillId="2" borderId="4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37" fillId="2" borderId="5" xfId="2" applyFont="1" applyFill="1" applyBorder="1" applyAlignment="1">
      <alignment horizontal="center" vertical="center" wrapText="1"/>
    </xf>
    <xf numFmtId="0" fontId="38" fillId="2" borderId="4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38" fillId="2" borderId="5" xfId="2" applyFont="1" applyFill="1" applyBorder="1" applyAlignment="1">
      <alignment horizontal="center" vertical="center" wrapText="1"/>
    </xf>
    <xf numFmtId="0" fontId="34" fillId="2" borderId="4" xfId="2" applyFont="1" applyFill="1" applyBorder="1" applyAlignment="1">
      <alignment horizontal="center" vertical="center" wrapText="1"/>
    </xf>
    <xf numFmtId="0" fontId="34" fillId="2" borderId="3" xfId="2" applyFont="1" applyFill="1" applyBorder="1" applyAlignment="1">
      <alignment horizontal="center" vertical="center" wrapText="1"/>
    </xf>
    <xf numFmtId="0" fontId="34" fillId="2" borderId="5" xfId="2" applyFont="1" applyFill="1" applyBorder="1" applyAlignment="1">
      <alignment horizontal="center" vertical="center" wrapText="1"/>
    </xf>
    <xf numFmtId="43" fontId="20" fillId="2" borderId="26" xfId="0" applyNumberFormat="1" applyFont="1" applyFill="1" applyBorder="1" applyAlignment="1">
      <alignment horizontal="left" vertical="center" wrapText="1"/>
    </xf>
    <xf numFmtId="43" fontId="20" fillId="2" borderId="0" xfId="0" applyNumberFormat="1" applyFont="1" applyFill="1" applyBorder="1" applyAlignment="1">
      <alignment horizontal="left" vertical="center" wrapText="1"/>
    </xf>
    <xf numFmtId="0" fontId="20" fillId="2" borderId="24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41" fillId="2" borderId="25" xfId="0" applyFont="1" applyFill="1" applyBorder="1" applyAlignment="1">
      <alignment horizontal="center" vertical="center" wrapText="1"/>
    </xf>
    <xf numFmtId="0" fontId="41" fillId="2" borderId="16" xfId="0" applyFont="1" applyFill="1" applyBorder="1" applyAlignment="1">
      <alignment horizontal="center" vertical="center" wrapText="1"/>
    </xf>
    <xf numFmtId="0" fontId="20" fillId="2" borderId="24" xfId="0" applyFont="1" applyFill="1" applyBorder="1" applyAlignment="1">
      <alignment horizontal="left" vertical="center" wrapText="1"/>
    </xf>
    <xf numFmtId="0" fontId="20" fillId="2" borderId="25" xfId="0" applyFont="1" applyFill="1" applyBorder="1" applyAlignment="1">
      <alignment horizontal="left" vertical="center" wrapText="1"/>
    </xf>
    <xf numFmtId="0" fontId="20" fillId="2" borderId="16" xfId="0" applyFont="1" applyFill="1" applyBorder="1" applyAlignment="1">
      <alignment horizontal="left" vertical="center" wrapText="1"/>
    </xf>
    <xf numFmtId="0" fontId="20" fillId="2" borderId="27" xfId="0" applyFont="1" applyFill="1" applyBorder="1" applyAlignment="1">
      <alignment horizontal="left" vertical="center" wrapText="1"/>
    </xf>
    <xf numFmtId="0" fontId="20" fillId="2" borderId="28" xfId="0" applyFont="1" applyFill="1" applyBorder="1" applyAlignment="1">
      <alignment horizontal="left" vertical="center" wrapText="1"/>
    </xf>
    <xf numFmtId="0" fontId="20" fillId="2" borderId="29" xfId="0" applyFont="1" applyFill="1" applyBorder="1" applyAlignment="1">
      <alignment horizontal="left" vertical="center" wrapText="1"/>
    </xf>
    <xf numFmtId="0" fontId="20" fillId="2" borderId="26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30" xfId="0" applyFont="1" applyFill="1" applyBorder="1" applyAlignment="1">
      <alignment horizontal="left" vertical="center" wrapText="1"/>
    </xf>
    <xf numFmtId="0" fontId="20" fillId="2" borderId="31" xfId="0" applyFont="1" applyFill="1" applyBorder="1" applyAlignment="1">
      <alignment horizontal="left" vertical="center" wrapText="1"/>
    </xf>
    <xf numFmtId="0" fontId="20" fillId="2" borderId="32" xfId="0" applyFont="1" applyFill="1" applyBorder="1" applyAlignment="1">
      <alignment horizontal="left" vertical="center" wrapText="1"/>
    </xf>
    <xf numFmtId="0" fontId="20" fillId="2" borderId="33" xfId="0" applyFont="1" applyFill="1" applyBorder="1" applyAlignment="1">
      <alignment horizontal="left" vertical="center" wrapText="1"/>
    </xf>
    <xf numFmtId="177" fontId="20" fillId="2" borderId="0" xfId="0" applyNumberFormat="1" applyFont="1" applyFill="1" applyAlignment="1">
      <alignment horizontal="left" vertical="center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177" fontId="11" fillId="2" borderId="34" xfId="0" applyNumberFormat="1" applyFont="1" applyFill="1" applyBorder="1" applyAlignment="1">
      <alignment horizontal="center" vertical="center" wrapText="1"/>
    </xf>
    <xf numFmtId="177" fontId="11" fillId="2" borderId="35" xfId="0" applyNumberFormat="1" applyFont="1" applyFill="1" applyBorder="1" applyAlignment="1">
      <alignment horizontal="center" vertical="center" wrapText="1"/>
    </xf>
    <xf numFmtId="177" fontId="11" fillId="2" borderId="36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28" fillId="0" borderId="14" xfId="4" applyFont="1" applyBorder="1" applyAlignment="1">
      <alignment horizontal="center" vertical="center" wrapText="1"/>
    </xf>
    <xf numFmtId="0" fontId="28" fillId="0" borderId="0" xfId="4" applyFont="1" applyAlignment="1">
      <alignment horizontal="center" vertical="center" wrapText="1"/>
    </xf>
    <xf numFmtId="0" fontId="34" fillId="0" borderId="0" xfId="4" applyFont="1" applyAlignment="1">
      <alignment horizontal="center" vertical="center" wrapText="1"/>
    </xf>
    <xf numFmtId="0" fontId="28" fillId="0" borderId="2" xfId="4" applyFont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0" fontId="28" fillId="0" borderId="0" xfId="4" applyFont="1" applyAlignment="1">
      <alignment horizontal="left" vertical="center" wrapText="1"/>
    </xf>
    <xf numFmtId="0" fontId="28" fillId="0" borderId="2" xfId="4" applyFont="1" applyBorder="1" applyAlignment="1">
      <alignment horizontal="center" vertical="top" wrapText="1"/>
    </xf>
    <xf numFmtId="0" fontId="28" fillId="2" borderId="2" xfId="4" applyFont="1" applyFill="1" applyBorder="1" applyAlignment="1">
      <alignment horizontal="center" vertical="top" wrapText="1"/>
    </xf>
    <xf numFmtId="0" fontId="28" fillId="0" borderId="0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168" fontId="8" fillId="2" borderId="4" xfId="1" applyNumberFormat="1" applyFont="1" applyFill="1" applyBorder="1" applyAlignment="1">
      <alignment horizontal="center" vertical="center" wrapText="1"/>
    </xf>
    <xf numFmtId="168" fontId="8" fillId="2" borderId="3" xfId="1" applyNumberFormat="1" applyFont="1" applyFill="1" applyBorder="1" applyAlignment="1">
      <alignment horizontal="center" vertical="center" wrapText="1"/>
    </xf>
    <xf numFmtId="168" fontId="8" fillId="2" borderId="5" xfId="1" applyNumberFormat="1" applyFont="1" applyFill="1" applyBorder="1" applyAlignment="1">
      <alignment horizontal="center" vertical="center" wrapText="1"/>
    </xf>
    <xf numFmtId="168" fontId="17" fillId="2" borderId="3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8" fontId="8" fillId="2" borderId="2" xfId="1" applyNumberFormat="1" applyFont="1" applyFill="1" applyBorder="1" applyAlignment="1">
      <alignment horizontal="center" vertical="center" wrapText="1"/>
    </xf>
    <xf numFmtId="168" fontId="6" fillId="4" borderId="2" xfId="1" applyNumberFormat="1" applyFont="1" applyFill="1" applyBorder="1" applyAlignment="1">
      <alignment horizontal="center" vertical="center" wrapText="1"/>
    </xf>
    <xf numFmtId="168" fontId="6" fillId="4" borderId="4" xfId="1" applyNumberFormat="1" applyFont="1" applyFill="1" applyBorder="1" applyAlignment="1">
      <alignment horizontal="center" vertical="center" wrapText="1"/>
    </xf>
    <xf numFmtId="168" fontId="6" fillId="4" borderId="3" xfId="1" applyNumberFormat="1" applyFont="1" applyFill="1" applyBorder="1" applyAlignment="1">
      <alignment horizontal="center" vertical="center" wrapText="1"/>
    </xf>
    <xf numFmtId="168" fontId="6" fillId="4" borderId="5" xfId="1" applyNumberFormat="1" applyFont="1" applyFill="1" applyBorder="1" applyAlignment="1">
      <alignment horizontal="center" vertical="center" wrapText="1"/>
    </xf>
    <xf numFmtId="168" fontId="6" fillId="3" borderId="2" xfId="1" applyNumberFormat="1" applyFont="1" applyFill="1" applyBorder="1" applyAlignment="1">
      <alignment horizontal="center" vertical="center" wrapText="1"/>
    </xf>
    <xf numFmtId="168" fontId="6" fillId="3" borderId="4" xfId="1" applyNumberFormat="1" applyFont="1" applyFill="1" applyBorder="1" applyAlignment="1">
      <alignment horizontal="center" vertical="center" wrapText="1"/>
    </xf>
    <xf numFmtId="168" fontId="6" fillId="3" borderId="3" xfId="1" applyNumberFormat="1" applyFont="1" applyFill="1" applyBorder="1" applyAlignment="1">
      <alignment horizontal="center" vertical="center" wrapText="1"/>
    </xf>
    <xf numFmtId="168" fontId="6" fillId="3" borderId="5" xfId="1" applyNumberFormat="1" applyFont="1" applyFill="1" applyBorder="1" applyAlignment="1">
      <alignment horizontal="center" vertical="center" wrapText="1"/>
    </xf>
    <xf numFmtId="168" fontId="8" fillId="0" borderId="4" xfId="1" applyNumberFormat="1" applyFont="1" applyFill="1" applyBorder="1" applyAlignment="1">
      <alignment horizontal="center" vertical="center" wrapText="1"/>
    </xf>
    <xf numFmtId="168" fontId="8" fillId="0" borderId="3" xfId="1" applyNumberFormat="1" applyFont="1" applyFill="1" applyBorder="1" applyAlignment="1">
      <alignment horizontal="center" vertical="center" wrapText="1"/>
    </xf>
    <xf numFmtId="168" fontId="8" fillId="0" borderId="5" xfId="1" applyNumberFormat="1" applyFont="1" applyFill="1" applyBorder="1" applyAlignment="1">
      <alignment horizontal="center" vertical="center" wrapText="1"/>
    </xf>
    <xf numFmtId="168" fontId="6" fillId="2" borderId="7" xfId="1" applyNumberFormat="1" applyFont="1" applyFill="1" applyBorder="1" applyAlignment="1">
      <alignment horizontal="center" vertical="center" wrapText="1"/>
    </xf>
    <xf numFmtId="168" fontId="6" fillId="2" borderId="8" xfId="1" applyNumberFormat="1" applyFont="1" applyFill="1" applyBorder="1" applyAlignment="1">
      <alignment horizontal="center" vertical="center" wrapText="1"/>
    </xf>
    <xf numFmtId="166" fontId="15" fillId="2" borderId="0" xfId="1" applyNumberFormat="1" applyFont="1" applyFill="1" applyAlignment="1">
      <alignment horizontal="right" vertical="center" wrapText="1"/>
    </xf>
    <xf numFmtId="0" fontId="11" fillId="2" borderId="0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  <xf numFmtId="166" fontId="15" fillId="2" borderId="2" xfId="1" applyNumberFormat="1" applyFont="1" applyFill="1" applyBorder="1" applyAlignment="1">
      <alignment horizontal="center" vertical="center" wrapText="1"/>
    </xf>
    <xf numFmtId="166" fontId="15" fillId="2" borderId="7" xfId="1" applyNumberFormat="1" applyFont="1" applyFill="1" applyBorder="1" applyAlignment="1">
      <alignment horizontal="center" vertical="center"/>
    </xf>
    <xf numFmtId="166" fontId="15" fillId="2" borderId="8" xfId="1" applyNumberFormat="1" applyFont="1" applyFill="1" applyBorder="1" applyAlignment="1">
      <alignment horizontal="center" vertical="center"/>
    </xf>
    <xf numFmtId="166" fontId="15" fillId="2" borderId="9" xfId="1" applyNumberFormat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</cellXfs>
  <cellStyles count="18">
    <cellStyle name="Обычный" xfId="0" builtinId="0"/>
    <cellStyle name="Обычный 2" xfId="1"/>
    <cellStyle name="Обычный 2 2" xfId="5"/>
    <cellStyle name="Обычный 2 2 2" xfId="13"/>
    <cellStyle name="Обычный 2 2 3" xfId="9"/>
    <cellStyle name="Обычный 2 3" xfId="6"/>
    <cellStyle name="Обычный 2 3 2" xfId="14"/>
    <cellStyle name="Обычный 2 3 2 2" xfId="17"/>
    <cellStyle name="Обычный 2 3 3" xfId="10"/>
    <cellStyle name="Обычный 2 4" xfId="7"/>
    <cellStyle name="Обычный 2 4 2" xfId="15"/>
    <cellStyle name="Обычный 2 4 3" xfId="11"/>
    <cellStyle name="Обычный 2 5" xfId="12"/>
    <cellStyle name="Обычный 2 6" xfId="8"/>
    <cellStyle name="Обычный 3" xfId="2"/>
    <cellStyle name="Обычный 4" xfId="4"/>
    <cellStyle name="Процентный 2" xfId="3"/>
    <cellStyle name="Финансовый" xfId="16" builtinId="3"/>
  </cellStyles>
  <dxfs count="0"/>
  <tableStyles count="1" defaultTableStyle="TableStyleMedium9" defaultPivotStyle="PivotStyleLight16">
    <tableStyle name="Стиль таблицы 1" pivot="0" count="0"/>
  </tableStyles>
  <colors>
    <mruColors>
      <color rgb="FF66FFFF"/>
      <color rgb="FFFFFF00"/>
      <color rgb="FF0000FF"/>
      <color rgb="FFCC9900"/>
      <color rgb="FFCCCCFF"/>
      <color rgb="FFFFFF99"/>
      <color rgb="FFCCFFFF"/>
      <color rgb="FFFFFF66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ew-delo/Users/user/Downloads/2019%20-2020-21-22%20&#1057;&#1055;&#1054;&#1056;&#1058;%20(1)%20&#1089;&#1084;&#1091;&#1085;%20&#1087;&#1088;&#1086;&#1077;&#1082;&#1090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 таблица 2"/>
      <sheetName val="таблица 3 "/>
      <sheetName val="таблица 4"/>
      <sheetName val="таблица 5 "/>
      <sheetName val="таблица 6"/>
      <sheetName val="таблица 7"/>
      <sheetName val="таблица 9"/>
      <sheetName val="комплексный план"/>
      <sheetName val="Лист1"/>
    </sheetNames>
    <sheetDataSet>
      <sheetData sheetId="0" refreshError="1"/>
      <sheetData sheetId="1" refreshError="1">
        <row r="12">
          <cell r="M12">
            <v>0</v>
          </cell>
        </row>
        <row r="13">
          <cell r="M13">
            <v>0</v>
          </cell>
        </row>
        <row r="19">
          <cell r="M19">
            <v>0</v>
          </cell>
        </row>
        <row r="20">
          <cell r="M20">
            <v>0</v>
          </cell>
        </row>
        <row r="21">
          <cell r="M21">
            <v>0</v>
          </cell>
        </row>
        <row r="22">
          <cell r="M22">
            <v>0</v>
          </cell>
        </row>
        <row r="23">
          <cell r="M23">
            <v>0</v>
          </cell>
        </row>
        <row r="26">
          <cell r="M26">
            <v>0</v>
          </cell>
        </row>
        <row r="27">
          <cell r="M27">
            <v>0</v>
          </cell>
        </row>
        <row r="28">
          <cell r="M28">
            <v>0</v>
          </cell>
        </row>
        <row r="29">
          <cell r="M29">
            <v>0</v>
          </cell>
        </row>
        <row r="30">
          <cell r="M30">
            <v>0</v>
          </cell>
        </row>
        <row r="33">
          <cell r="M33">
            <v>0</v>
          </cell>
        </row>
        <row r="34">
          <cell r="M34">
            <v>0</v>
          </cell>
        </row>
        <row r="40">
          <cell r="M40">
            <v>0</v>
          </cell>
        </row>
        <row r="41">
          <cell r="M41">
            <v>0</v>
          </cell>
        </row>
        <row r="47">
          <cell r="M47">
            <v>0</v>
          </cell>
        </row>
        <row r="48">
          <cell r="M48">
            <v>0</v>
          </cell>
        </row>
        <row r="54">
          <cell r="M54">
            <v>0</v>
          </cell>
        </row>
        <row r="55">
          <cell r="M5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view="pageBreakPreview" zoomScale="60" zoomScaleNormal="60" workbookViewId="0">
      <selection activeCell="A19" sqref="A19:N19"/>
    </sheetView>
  </sheetViews>
  <sheetFormatPr defaultRowHeight="12.75" x14ac:dyDescent="0.2"/>
  <cols>
    <col min="1" max="1" width="12" customWidth="1"/>
    <col min="2" max="2" width="58.140625" customWidth="1"/>
    <col min="3" max="3" width="26.140625" customWidth="1"/>
    <col min="9" max="9" width="10" customWidth="1"/>
    <col min="11" max="11" width="6.5703125" customWidth="1"/>
    <col min="12" max="12" width="5.42578125" customWidth="1"/>
    <col min="13" max="13" width="5" customWidth="1"/>
    <col min="14" max="14" width="5.85546875" customWidth="1"/>
  </cols>
  <sheetData>
    <row r="1" spans="1:16" ht="22.5" customHeight="1" x14ac:dyDescent="0.3">
      <c r="A1" s="45"/>
      <c r="O1" s="270" t="s">
        <v>117</v>
      </c>
      <c r="P1" s="270"/>
    </row>
    <row r="2" spans="1:16" ht="23.25" customHeight="1" x14ac:dyDescent="0.25">
      <c r="A2" s="271" t="s">
        <v>116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</row>
    <row r="3" spans="1:16" ht="23.25" customHeight="1" x14ac:dyDescent="0.3">
      <c r="A3" s="44"/>
      <c r="O3" s="43"/>
      <c r="P3" s="43"/>
    </row>
    <row r="4" spans="1:16" x14ac:dyDescent="0.2">
      <c r="A4" s="272" t="s">
        <v>115</v>
      </c>
      <c r="B4" s="272" t="s">
        <v>114</v>
      </c>
      <c r="C4" s="272" t="s">
        <v>113</v>
      </c>
      <c r="D4" s="269" t="s">
        <v>112</v>
      </c>
      <c r="E4" s="269"/>
      <c r="F4" s="269"/>
      <c r="G4" s="269"/>
      <c r="H4" s="269"/>
      <c r="I4" s="269"/>
      <c r="J4" s="269"/>
      <c r="K4" s="272" t="s">
        <v>111</v>
      </c>
      <c r="L4" s="272"/>
      <c r="M4" s="272"/>
      <c r="N4" s="272"/>
    </row>
    <row r="5" spans="1:16" ht="24" customHeight="1" x14ac:dyDescent="0.2">
      <c r="A5" s="272"/>
      <c r="B5" s="272"/>
      <c r="C5" s="272"/>
      <c r="D5" s="269"/>
      <c r="E5" s="269"/>
      <c r="F5" s="269"/>
      <c r="G5" s="269"/>
      <c r="H5" s="269"/>
      <c r="I5" s="269"/>
      <c r="J5" s="269"/>
      <c r="K5" s="272"/>
      <c r="L5" s="272"/>
      <c r="M5" s="272"/>
      <c r="N5" s="272"/>
    </row>
    <row r="6" spans="1:16" ht="75" customHeight="1" x14ac:dyDescent="0.2">
      <c r="A6" s="272"/>
      <c r="B6" s="272"/>
      <c r="C6" s="272"/>
      <c r="D6" s="186" t="s">
        <v>1</v>
      </c>
      <c r="E6" s="186" t="s">
        <v>0</v>
      </c>
      <c r="F6" s="186" t="s">
        <v>119</v>
      </c>
      <c r="G6" s="186" t="s">
        <v>120</v>
      </c>
      <c r="H6" s="186" t="s">
        <v>121</v>
      </c>
      <c r="I6" s="186" t="s">
        <v>122</v>
      </c>
      <c r="J6" s="186" t="s">
        <v>188</v>
      </c>
      <c r="K6" s="272"/>
      <c r="L6" s="272"/>
      <c r="M6" s="272"/>
      <c r="N6" s="272"/>
    </row>
    <row r="7" spans="1:16" ht="42" customHeight="1" x14ac:dyDescent="0.2">
      <c r="A7" s="186">
        <v>1</v>
      </c>
      <c r="B7" s="186">
        <v>2</v>
      </c>
      <c r="C7" s="186">
        <v>3</v>
      </c>
      <c r="D7" s="186">
        <v>4</v>
      </c>
      <c r="E7" s="186">
        <v>5</v>
      </c>
      <c r="F7" s="186">
        <v>6</v>
      </c>
      <c r="G7" s="186">
        <v>7</v>
      </c>
      <c r="H7" s="186">
        <v>8</v>
      </c>
      <c r="I7" s="186">
        <v>9</v>
      </c>
      <c r="J7" s="186">
        <v>10</v>
      </c>
      <c r="K7" s="272">
        <v>11</v>
      </c>
      <c r="L7" s="272"/>
      <c r="M7" s="272"/>
      <c r="N7" s="272"/>
    </row>
    <row r="8" spans="1:16" ht="71.25" customHeight="1" x14ac:dyDescent="0.2">
      <c r="A8" s="185" t="s">
        <v>37</v>
      </c>
      <c r="B8" s="185" t="s">
        <v>110</v>
      </c>
      <c r="C8" s="187">
        <v>37.1</v>
      </c>
      <c r="D8" s="195">
        <v>39</v>
      </c>
      <c r="E8" s="195">
        <v>45</v>
      </c>
      <c r="F8" s="195">
        <v>49</v>
      </c>
      <c r="G8" s="195">
        <v>53</v>
      </c>
      <c r="H8" s="195">
        <v>57</v>
      </c>
      <c r="I8" s="195">
        <v>57</v>
      </c>
      <c r="J8" s="187">
        <v>57</v>
      </c>
      <c r="K8" s="268">
        <v>57</v>
      </c>
      <c r="L8" s="268"/>
      <c r="M8" s="268"/>
      <c r="N8" s="268"/>
    </row>
    <row r="9" spans="1:16" ht="58.5" customHeight="1" x14ac:dyDescent="0.2">
      <c r="A9" s="185">
        <v>2</v>
      </c>
      <c r="B9" s="185" t="s">
        <v>204</v>
      </c>
      <c r="C9" s="194">
        <v>29.72</v>
      </c>
      <c r="D9" s="192">
        <v>30</v>
      </c>
      <c r="E9" s="192">
        <v>50.4</v>
      </c>
      <c r="F9" s="192">
        <v>51.4</v>
      </c>
      <c r="G9" s="192">
        <v>52.3</v>
      </c>
      <c r="H9" s="192">
        <v>53.3</v>
      </c>
      <c r="I9" s="193">
        <v>53</v>
      </c>
      <c r="J9" s="192">
        <v>53</v>
      </c>
      <c r="K9" s="273">
        <v>53</v>
      </c>
      <c r="L9" s="274"/>
      <c r="M9" s="274"/>
      <c r="N9" s="275"/>
    </row>
    <row r="10" spans="1:16" ht="72" customHeight="1" x14ac:dyDescent="0.2">
      <c r="A10" s="185">
        <v>3</v>
      </c>
      <c r="B10" s="185" t="s">
        <v>304</v>
      </c>
      <c r="C10" s="50">
        <v>74.599999999999994</v>
      </c>
      <c r="D10" s="50">
        <v>75.900000000000006</v>
      </c>
      <c r="E10" s="50">
        <v>76.5</v>
      </c>
      <c r="F10" s="50">
        <v>77.400000000000006</v>
      </c>
      <c r="G10" s="50">
        <v>78.599999999999994</v>
      </c>
      <c r="H10" s="50">
        <v>79.599999999999994</v>
      </c>
      <c r="I10" s="50">
        <v>80.599999999999994</v>
      </c>
      <c r="J10" s="185">
        <v>80.599999999999994</v>
      </c>
      <c r="K10" s="269">
        <v>80.599999999999994</v>
      </c>
      <c r="L10" s="269"/>
      <c r="M10" s="269"/>
      <c r="N10" s="269"/>
    </row>
    <row r="11" spans="1:16" ht="63.75" customHeight="1" x14ac:dyDescent="0.2">
      <c r="A11" s="185">
        <v>4</v>
      </c>
      <c r="B11" s="185" t="s">
        <v>303</v>
      </c>
      <c r="C11" s="185">
        <v>14</v>
      </c>
      <c r="D11" s="50">
        <v>16</v>
      </c>
      <c r="E11" s="50">
        <v>18</v>
      </c>
      <c r="F11" s="50">
        <v>20</v>
      </c>
      <c r="G11" s="50">
        <v>22</v>
      </c>
      <c r="H11" s="50">
        <v>24</v>
      </c>
      <c r="I11" s="50">
        <v>26</v>
      </c>
      <c r="J11" s="185">
        <v>26</v>
      </c>
      <c r="K11" s="269">
        <v>26</v>
      </c>
      <c r="L11" s="269"/>
      <c r="M11" s="269"/>
      <c r="N11" s="269"/>
    </row>
    <row r="12" spans="1:16" ht="61.5" customHeight="1" x14ac:dyDescent="0.2">
      <c r="A12" s="185">
        <v>5</v>
      </c>
      <c r="B12" s="185" t="s">
        <v>302</v>
      </c>
      <c r="C12" s="187">
        <v>9</v>
      </c>
      <c r="D12" s="191">
        <v>11.2</v>
      </c>
      <c r="E12" s="191">
        <v>12</v>
      </c>
      <c r="F12" s="191">
        <v>13</v>
      </c>
      <c r="G12" s="191">
        <v>14</v>
      </c>
      <c r="H12" s="191">
        <v>15</v>
      </c>
      <c r="I12" s="191">
        <v>16</v>
      </c>
      <c r="J12" s="187">
        <v>16</v>
      </c>
      <c r="K12" s="268">
        <v>16</v>
      </c>
      <c r="L12" s="268"/>
      <c r="M12" s="268"/>
      <c r="N12" s="268"/>
    </row>
    <row r="13" spans="1:16" ht="62.25" customHeight="1" x14ac:dyDescent="0.2">
      <c r="A13" s="269">
        <v>6</v>
      </c>
      <c r="B13" s="269" t="s">
        <v>109</v>
      </c>
      <c r="C13" s="269">
        <v>14.1</v>
      </c>
      <c r="D13" s="269">
        <v>15.3</v>
      </c>
      <c r="E13" s="269">
        <v>19.600000000000001</v>
      </c>
      <c r="F13" s="269">
        <v>19.8</v>
      </c>
      <c r="G13" s="269">
        <v>20</v>
      </c>
      <c r="H13" s="269">
        <v>20.2</v>
      </c>
      <c r="I13" s="268">
        <v>20.399999999999999</v>
      </c>
      <c r="J13" s="269">
        <v>20.6</v>
      </c>
      <c r="K13" s="269">
        <v>20.6</v>
      </c>
      <c r="L13" s="269"/>
      <c r="M13" s="269"/>
      <c r="N13" s="269"/>
    </row>
    <row r="14" spans="1:16" ht="76.5" customHeight="1" x14ac:dyDescent="0.2">
      <c r="A14" s="269"/>
      <c r="B14" s="269"/>
      <c r="C14" s="269"/>
      <c r="D14" s="269"/>
      <c r="E14" s="269"/>
      <c r="F14" s="269"/>
      <c r="G14" s="269"/>
      <c r="H14" s="269"/>
      <c r="I14" s="268"/>
      <c r="J14" s="269"/>
      <c r="K14" s="269"/>
      <c r="L14" s="269"/>
      <c r="M14" s="269"/>
      <c r="N14" s="269"/>
    </row>
    <row r="15" spans="1:16" ht="21" customHeight="1" x14ac:dyDescent="0.2">
      <c r="A15" s="279" t="s">
        <v>301</v>
      </c>
      <c r="B15" s="269" t="s">
        <v>108</v>
      </c>
      <c r="C15" s="268">
        <v>30</v>
      </c>
      <c r="D15" s="268">
        <v>35</v>
      </c>
      <c r="E15" s="268">
        <v>40</v>
      </c>
      <c r="F15" s="268">
        <v>40.5</v>
      </c>
      <c r="G15" s="268">
        <v>41</v>
      </c>
      <c r="H15" s="268">
        <v>41.5</v>
      </c>
      <c r="I15" s="268">
        <v>42</v>
      </c>
      <c r="J15" s="268">
        <v>42.5</v>
      </c>
      <c r="K15" s="268">
        <v>42.5</v>
      </c>
      <c r="L15" s="268"/>
      <c r="M15" s="268"/>
      <c r="N15" s="268"/>
    </row>
    <row r="16" spans="1:16" ht="82.5" customHeight="1" x14ac:dyDescent="0.2">
      <c r="A16" s="279"/>
      <c r="B16" s="269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</row>
    <row r="17" spans="1:16" ht="80.25" customHeight="1" x14ac:dyDescent="0.2">
      <c r="A17" s="189" t="s">
        <v>300</v>
      </c>
      <c r="B17" s="185" t="s">
        <v>299</v>
      </c>
      <c r="C17" s="187">
        <v>40</v>
      </c>
      <c r="D17" s="187">
        <v>60</v>
      </c>
      <c r="E17" s="187">
        <v>70</v>
      </c>
      <c r="F17" s="187">
        <v>70.5</v>
      </c>
      <c r="G17" s="187">
        <v>71</v>
      </c>
      <c r="H17" s="187">
        <v>71.5</v>
      </c>
      <c r="I17" s="187">
        <v>72</v>
      </c>
      <c r="J17" s="187">
        <v>72.5</v>
      </c>
      <c r="K17" s="268">
        <v>72.5</v>
      </c>
      <c r="L17" s="268"/>
      <c r="M17" s="268"/>
      <c r="N17" s="268"/>
    </row>
    <row r="18" spans="1:16" ht="117.75" customHeight="1" x14ac:dyDescent="0.2">
      <c r="A18" s="188">
        <v>8</v>
      </c>
      <c r="B18" s="188" t="s">
        <v>118</v>
      </c>
      <c r="C18" s="188">
        <v>10</v>
      </c>
      <c r="D18" s="188">
        <v>12</v>
      </c>
      <c r="E18" s="188">
        <v>15</v>
      </c>
      <c r="F18" s="188">
        <v>15</v>
      </c>
      <c r="G18" s="188">
        <v>15</v>
      </c>
      <c r="H18" s="188">
        <v>15</v>
      </c>
      <c r="I18" s="188">
        <v>15</v>
      </c>
      <c r="J18" s="188">
        <v>15</v>
      </c>
      <c r="K18" s="276">
        <v>15</v>
      </c>
      <c r="L18" s="276"/>
      <c r="M18" s="276"/>
      <c r="N18" s="276"/>
    </row>
    <row r="19" spans="1:16" ht="104.25" customHeight="1" x14ac:dyDescent="0.2">
      <c r="A19" s="277" t="s">
        <v>203</v>
      </c>
      <c r="B19" s="278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51"/>
      <c r="P19" s="51"/>
    </row>
    <row r="20" spans="1:16" ht="96.75" customHeight="1" x14ac:dyDescent="0.2"/>
  </sheetData>
  <mergeCells count="38">
    <mergeCell ref="K18:N18"/>
    <mergeCell ref="A19:N19"/>
    <mergeCell ref="F15:F16"/>
    <mergeCell ref="G15:G16"/>
    <mergeCell ref="H15:H16"/>
    <mergeCell ref="I15:I16"/>
    <mergeCell ref="J15:J16"/>
    <mergeCell ref="K15:N16"/>
    <mergeCell ref="A15:A16"/>
    <mergeCell ref="K17:N17"/>
    <mergeCell ref="A13:A14"/>
    <mergeCell ref="B13:B14"/>
    <mergeCell ref="C13:C14"/>
    <mergeCell ref="D13:D14"/>
    <mergeCell ref="E13:E14"/>
    <mergeCell ref="G13:G14"/>
    <mergeCell ref="H13:H14"/>
    <mergeCell ref="I13:I14"/>
    <mergeCell ref="B15:B16"/>
    <mergeCell ref="C15:C16"/>
    <mergeCell ref="D15:D16"/>
    <mergeCell ref="E15:E16"/>
    <mergeCell ref="K12:N12"/>
    <mergeCell ref="J13:J14"/>
    <mergeCell ref="K13:N14"/>
    <mergeCell ref="O1:P1"/>
    <mergeCell ref="A2:P2"/>
    <mergeCell ref="A4:A6"/>
    <mergeCell ref="B4:B6"/>
    <mergeCell ref="C4:C6"/>
    <mergeCell ref="D4:J5"/>
    <mergeCell ref="K4:N6"/>
    <mergeCell ref="F13:F14"/>
    <mergeCell ref="K7:N7"/>
    <mergeCell ref="K8:N8"/>
    <mergeCell ref="K9:N9"/>
    <mergeCell ref="K10:N10"/>
    <mergeCell ref="K11:N11"/>
  </mergeCells>
  <pageMargins left="0.91" right="0.19685039370078741" top="0.19685039370078741" bottom="0.19685039370078741" header="0.19685039370078741" footer="0.19685039370078741"/>
  <pageSetup paperSize="9" scale="65" orientation="landscape" r:id="rId1"/>
  <rowBreaks count="1" manualBreakCount="1">
    <brk id="1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tabColor rgb="FFFFFF00"/>
  </sheetPr>
  <dimension ref="A1:U260"/>
  <sheetViews>
    <sheetView zoomScale="70" zoomScaleNormal="70" zoomScaleSheetLayoutView="70" workbookViewId="0">
      <pane ySplit="9" topLeftCell="A211" activePane="bottomLeft" state="frozenSplit"/>
      <selection pane="bottomLeft" activeCell="B3" sqref="B3:M3"/>
    </sheetView>
  </sheetViews>
  <sheetFormatPr defaultRowHeight="16.5" x14ac:dyDescent="0.25"/>
  <cols>
    <col min="1" max="1" width="4.85546875" style="38" customWidth="1"/>
    <col min="2" max="2" width="6.28515625" style="38" customWidth="1"/>
    <col min="3" max="3" width="36.140625" style="38" customWidth="1"/>
    <col min="4" max="4" width="29.85546875" style="38" customWidth="1"/>
    <col min="5" max="5" width="31.5703125" style="38" customWidth="1"/>
    <col min="6" max="6" width="22.7109375" style="256" customWidth="1"/>
    <col min="7" max="7" width="22.7109375" style="257" customWidth="1"/>
    <col min="8" max="8" width="21.28515625" style="256" customWidth="1"/>
    <col min="9" max="9" width="24.85546875" style="212" customWidth="1"/>
    <col min="10" max="13" width="22.7109375" style="212" customWidth="1"/>
    <col min="14" max="19" width="20.5703125" style="61" hidden="1" customWidth="1"/>
    <col min="20" max="20" width="3.5703125" style="61" customWidth="1"/>
    <col min="21" max="21" width="9.140625" style="38"/>
    <col min="22" max="22" width="31.5703125" style="38" customWidth="1"/>
    <col min="23" max="16384" width="9.140625" style="38"/>
  </cols>
  <sheetData>
    <row r="1" spans="2:20" ht="15" customHeight="1" x14ac:dyDescent="0.25">
      <c r="B1" s="293" t="s">
        <v>2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N1" s="64"/>
      <c r="O1" s="64"/>
      <c r="P1" s="64"/>
      <c r="Q1" s="64"/>
      <c r="R1" s="64"/>
      <c r="S1" s="64"/>
      <c r="T1" s="64"/>
    </row>
    <row r="2" spans="2:20" ht="15" customHeight="1" x14ac:dyDescent="0.25"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N2" s="64"/>
      <c r="O2" s="64"/>
      <c r="P2" s="64"/>
      <c r="Q2" s="64"/>
      <c r="R2" s="64"/>
      <c r="S2" s="64"/>
      <c r="T2" s="64"/>
    </row>
    <row r="3" spans="2:20" ht="22.5" customHeight="1" x14ac:dyDescent="0.2">
      <c r="B3" s="294" t="s">
        <v>89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64"/>
      <c r="O3" s="64"/>
      <c r="P3" s="64"/>
      <c r="Q3" s="64"/>
      <c r="R3" s="64"/>
      <c r="S3" s="64"/>
      <c r="T3" s="64"/>
    </row>
    <row r="4" spans="2:20" ht="15.75" customHeight="1" x14ac:dyDescent="0.25">
      <c r="B4" s="54"/>
      <c r="C4" s="54"/>
      <c r="D4" s="54"/>
      <c r="E4" s="54"/>
      <c r="F4" s="213"/>
      <c r="G4" s="214"/>
      <c r="H4" s="215"/>
      <c r="N4" s="64"/>
      <c r="O4" s="64"/>
      <c r="P4" s="64"/>
      <c r="Q4" s="64"/>
      <c r="R4" s="64"/>
      <c r="S4" s="64"/>
      <c r="T4" s="64"/>
    </row>
    <row r="5" spans="2:20" ht="30.75" customHeight="1" x14ac:dyDescent="0.2">
      <c r="B5" s="292" t="s">
        <v>92</v>
      </c>
      <c r="C5" s="292" t="s">
        <v>3</v>
      </c>
      <c r="D5" s="292" t="s">
        <v>4</v>
      </c>
      <c r="E5" s="292" t="s">
        <v>5</v>
      </c>
      <c r="F5" s="296" t="s">
        <v>232</v>
      </c>
      <c r="G5" s="296"/>
      <c r="H5" s="296"/>
      <c r="I5" s="296"/>
      <c r="J5" s="296"/>
      <c r="K5" s="296"/>
      <c r="L5" s="296"/>
      <c r="M5" s="296"/>
      <c r="N5" s="65"/>
      <c r="O5" s="66"/>
      <c r="P5" s="66"/>
      <c r="Q5" s="66"/>
      <c r="R5" s="66"/>
      <c r="S5" s="66"/>
      <c r="T5" s="87"/>
    </row>
    <row r="6" spans="2:20" ht="30.75" customHeight="1" x14ac:dyDescent="0.2">
      <c r="B6" s="292"/>
      <c r="C6" s="292"/>
      <c r="D6" s="292"/>
      <c r="E6" s="292"/>
      <c r="F6" s="296" t="s">
        <v>231</v>
      </c>
      <c r="G6" s="296"/>
      <c r="H6" s="296"/>
      <c r="I6" s="296"/>
      <c r="J6" s="296"/>
      <c r="K6" s="296"/>
      <c r="L6" s="296"/>
      <c r="M6" s="296"/>
      <c r="N6" s="65"/>
      <c r="O6" s="66"/>
      <c r="P6" s="66"/>
      <c r="Q6" s="66"/>
      <c r="R6" s="66"/>
      <c r="S6" s="66"/>
      <c r="T6" s="87"/>
    </row>
    <row r="7" spans="2:20" ht="15.75" customHeight="1" x14ac:dyDescent="0.2">
      <c r="B7" s="292"/>
      <c r="C7" s="292"/>
      <c r="D7" s="292"/>
      <c r="E7" s="292"/>
      <c r="F7" s="298" t="s">
        <v>34</v>
      </c>
      <c r="G7" s="295" t="s">
        <v>233</v>
      </c>
      <c r="H7" s="295"/>
      <c r="I7" s="295"/>
      <c r="J7" s="295"/>
      <c r="K7" s="295"/>
      <c r="L7" s="295"/>
      <c r="M7" s="295"/>
      <c r="N7" s="65"/>
      <c r="O7" s="67"/>
      <c r="P7" s="67"/>
      <c r="Q7" s="66"/>
      <c r="R7" s="66"/>
      <c r="S7" s="66"/>
      <c r="T7" s="87"/>
    </row>
    <row r="8" spans="2:20" ht="15.75" customHeight="1" x14ac:dyDescent="0.25">
      <c r="B8" s="292"/>
      <c r="C8" s="292"/>
      <c r="D8" s="292"/>
      <c r="E8" s="292"/>
      <c r="F8" s="298"/>
      <c r="G8" s="216" t="s">
        <v>1</v>
      </c>
      <c r="H8" s="217" t="s">
        <v>0</v>
      </c>
      <c r="I8" s="218" t="s">
        <v>119</v>
      </c>
      <c r="J8" s="218" t="s">
        <v>120</v>
      </c>
      <c r="K8" s="218" t="s">
        <v>121</v>
      </c>
      <c r="L8" s="219" t="s">
        <v>122</v>
      </c>
      <c r="M8" s="219" t="s">
        <v>190</v>
      </c>
      <c r="N8" s="69" t="s">
        <v>189</v>
      </c>
      <c r="O8" s="66" t="s">
        <v>126</v>
      </c>
      <c r="P8" s="66" t="s">
        <v>127</v>
      </c>
      <c r="Q8" s="66" t="s">
        <v>128</v>
      </c>
      <c r="R8" s="66" t="s">
        <v>129</v>
      </c>
      <c r="S8" s="66" t="s">
        <v>125</v>
      </c>
      <c r="T8" s="87"/>
    </row>
    <row r="9" spans="2:20" s="42" customFormat="1" ht="15.75" customHeight="1" x14ac:dyDescent="0.2">
      <c r="B9" s="36">
        <v>1</v>
      </c>
      <c r="C9" s="36">
        <v>2</v>
      </c>
      <c r="D9" s="36">
        <v>3</v>
      </c>
      <c r="E9" s="36">
        <v>4</v>
      </c>
      <c r="F9" s="220">
        <v>5</v>
      </c>
      <c r="G9" s="220">
        <v>6</v>
      </c>
      <c r="H9" s="220">
        <v>7</v>
      </c>
      <c r="I9" s="221">
        <v>8</v>
      </c>
      <c r="J9" s="221">
        <v>9</v>
      </c>
      <c r="K9" s="221">
        <v>10</v>
      </c>
      <c r="L9" s="221">
        <v>11</v>
      </c>
      <c r="M9" s="221">
        <v>12</v>
      </c>
      <c r="N9" s="70" t="s">
        <v>250</v>
      </c>
      <c r="O9" s="71">
        <v>14</v>
      </c>
      <c r="P9" s="71">
        <v>15</v>
      </c>
      <c r="Q9" s="71">
        <v>16</v>
      </c>
      <c r="R9" s="71">
        <v>17</v>
      </c>
      <c r="S9" s="71">
        <v>18</v>
      </c>
      <c r="T9" s="120"/>
    </row>
    <row r="10" spans="2:20" ht="17.25" customHeight="1" x14ac:dyDescent="0.2">
      <c r="B10" s="297" t="s">
        <v>107</v>
      </c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152"/>
      <c r="O10" s="64"/>
      <c r="P10" s="64"/>
      <c r="Q10" s="64"/>
      <c r="R10" s="64"/>
      <c r="S10" s="64"/>
      <c r="T10" s="64"/>
    </row>
    <row r="11" spans="2:20" ht="18" customHeight="1" x14ac:dyDescent="0.2">
      <c r="B11" s="279" t="s">
        <v>251</v>
      </c>
      <c r="C11" s="291" t="s">
        <v>214</v>
      </c>
      <c r="D11" s="291" t="s">
        <v>16</v>
      </c>
      <c r="E11" s="39" t="s">
        <v>34</v>
      </c>
      <c r="F11" s="222">
        <f>F12+F13+F14+F15+F17</f>
        <v>14219.536215059292</v>
      </c>
      <c r="G11" s="223">
        <f t="shared" ref="G11:S11" si="0">G12+G13+G14+G15+G17</f>
        <v>1119.2190000000001</v>
      </c>
      <c r="H11" s="222">
        <f>H12+H13+H14+H15+H17</f>
        <v>0</v>
      </c>
      <c r="I11" s="222">
        <f>I12+I13+I14+I15+I17</f>
        <v>1298</v>
      </c>
      <c r="J11" s="224">
        <f>J12+J13+J14+J15+J17</f>
        <v>1298</v>
      </c>
      <c r="K11" s="224">
        <f t="shared" ref="K11" si="1">K12+K13+K14+K15+K17</f>
        <v>1298</v>
      </c>
      <c r="L11" s="224">
        <f t="shared" si="0"/>
        <v>1302.4490000000001</v>
      </c>
      <c r="M11" s="224">
        <f>M12+M13+M14+M15+M17</f>
        <v>7903.868215059294</v>
      </c>
      <c r="N11" s="74">
        <f t="shared" si="0"/>
        <v>1306.878721</v>
      </c>
      <c r="O11" s="73">
        <f t="shared" si="0"/>
        <v>1311.1225464670001</v>
      </c>
      <c r="P11" s="73">
        <f t="shared" si="0"/>
        <v>1315.1581101286752</v>
      </c>
      <c r="Q11" s="73">
        <f t="shared" si="0"/>
        <v>1319.294562881892</v>
      </c>
      <c r="R11" s="73">
        <f t="shared" si="0"/>
        <v>1323.5344269539391</v>
      </c>
      <c r="S11" s="73">
        <f t="shared" si="0"/>
        <v>1327.8798476277877</v>
      </c>
      <c r="T11" s="121"/>
    </row>
    <row r="12" spans="2:20" x14ac:dyDescent="0.25">
      <c r="B12" s="279"/>
      <c r="C12" s="291"/>
      <c r="D12" s="291"/>
      <c r="E12" s="63" t="s">
        <v>6</v>
      </c>
      <c r="F12" s="217">
        <f>G12+H12+I12+J12+K12+L12+M12</f>
        <v>0</v>
      </c>
      <c r="G12" s="216">
        <v>0</v>
      </c>
      <c r="H12" s="217">
        <v>0</v>
      </c>
      <c r="I12" s="222">
        <v>0</v>
      </c>
      <c r="J12" s="225">
        <v>0</v>
      </c>
      <c r="K12" s="225">
        <v>0</v>
      </c>
      <c r="L12" s="225">
        <v>0</v>
      </c>
      <c r="M12" s="225">
        <v>0</v>
      </c>
      <c r="N12" s="75">
        <f>L12*103%</f>
        <v>0</v>
      </c>
      <c r="O12" s="76">
        <f>N12*102.7%</f>
        <v>0</v>
      </c>
      <c r="P12" s="76">
        <f t="shared" ref="P12:S13" si="2">O12*102.5%</f>
        <v>0</v>
      </c>
      <c r="Q12" s="76">
        <f t="shared" si="2"/>
        <v>0</v>
      </c>
      <c r="R12" s="76">
        <f t="shared" si="2"/>
        <v>0</v>
      </c>
      <c r="S12" s="76">
        <f t="shared" si="2"/>
        <v>0</v>
      </c>
      <c r="T12" s="122"/>
    </row>
    <row r="13" spans="2:20" x14ac:dyDescent="0.25">
      <c r="B13" s="279"/>
      <c r="C13" s="291"/>
      <c r="D13" s="291"/>
      <c r="E13" s="63" t="s">
        <v>7</v>
      </c>
      <c r="F13" s="217">
        <f t="shared" ref="F13:F17" si="3">G13+H13+I13+J13+K13+L13+M13</f>
        <v>0</v>
      </c>
      <c r="G13" s="216">
        <v>0</v>
      </c>
      <c r="H13" s="217">
        <v>0</v>
      </c>
      <c r="I13" s="222">
        <v>0</v>
      </c>
      <c r="J13" s="225">
        <v>0</v>
      </c>
      <c r="K13" s="225">
        <v>0</v>
      </c>
      <c r="L13" s="225">
        <v>0</v>
      </c>
      <c r="M13" s="225">
        <v>0</v>
      </c>
      <c r="N13" s="75">
        <f>L13*103%</f>
        <v>0</v>
      </c>
      <c r="O13" s="76">
        <f>N13*102.7%</f>
        <v>0</v>
      </c>
      <c r="P13" s="76">
        <f t="shared" si="2"/>
        <v>0</v>
      </c>
      <c r="Q13" s="76">
        <f t="shared" si="2"/>
        <v>0</v>
      </c>
      <c r="R13" s="76">
        <f t="shared" si="2"/>
        <v>0</v>
      </c>
      <c r="S13" s="76">
        <f t="shared" si="2"/>
        <v>0</v>
      </c>
      <c r="T13" s="122"/>
    </row>
    <row r="14" spans="2:20" ht="21" customHeight="1" x14ac:dyDescent="0.25">
      <c r="B14" s="279"/>
      <c r="C14" s="291"/>
      <c r="D14" s="291"/>
      <c r="E14" s="63" t="s">
        <v>8</v>
      </c>
      <c r="F14" s="217">
        <f t="shared" si="3"/>
        <v>13061.118999999999</v>
      </c>
      <c r="G14" s="216">
        <f>1149.7-30.481</f>
        <v>1119.2190000000001</v>
      </c>
      <c r="H14" s="217">
        <f>1149.7-1149.7</f>
        <v>0</v>
      </c>
      <c r="I14" s="217">
        <v>1298</v>
      </c>
      <c r="J14" s="217">
        <v>1298</v>
      </c>
      <c r="K14" s="217">
        <v>1298</v>
      </c>
      <c r="L14" s="217">
        <v>1149.7</v>
      </c>
      <c r="M14" s="225">
        <f>N14+O14+P14+Q14+R14+S14</f>
        <v>6898.2</v>
      </c>
      <c r="N14" s="75">
        <f>L14</f>
        <v>1149.7</v>
      </c>
      <c r="O14" s="76">
        <f>N14</f>
        <v>1149.7</v>
      </c>
      <c r="P14" s="76">
        <f>O14</f>
        <v>1149.7</v>
      </c>
      <c r="Q14" s="76">
        <f>P14</f>
        <v>1149.7</v>
      </c>
      <c r="R14" s="76">
        <f>Q14</f>
        <v>1149.7</v>
      </c>
      <c r="S14" s="76">
        <f>R14</f>
        <v>1149.7</v>
      </c>
      <c r="T14" s="122"/>
    </row>
    <row r="15" spans="2:20" ht="31.5" x14ac:dyDescent="0.25">
      <c r="B15" s="279"/>
      <c r="C15" s="291"/>
      <c r="D15" s="291"/>
      <c r="E15" s="63" t="s">
        <v>9</v>
      </c>
      <c r="F15" s="217">
        <f t="shared" si="3"/>
        <v>0</v>
      </c>
      <c r="G15" s="216">
        <v>0</v>
      </c>
      <c r="H15" s="217">
        <v>0</v>
      </c>
      <c r="I15" s="222">
        <v>0</v>
      </c>
      <c r="J15" s="225">
        <f>I15*103.4%</f>
        <v>0</v>
      </c>
      <c r="K15" s="225">
        <f>J15*103.3%</f>
        <v>0</v>
      </c>
      <c r="L15" s="225">
        <f>K15*103%</f>
        <v>0</v>
      </c>
      <c r="M15" s="225">
        <v>0</v>
      </c>
      <c r="N15" s="75">
        <f>L15*102.9%</f>
        <v>0</v>
      </c>
      <c r="O15" s="76">
        <f>N15*102.7%</f>
        <v>0</v>
      </c>
      <c r="P15" s="76">
        <f t="shared" ref="P15:S17" si="4">O15*102.5%</f>
        <v>0</v>
      </c>
      <c r="Q15" s="76">
        <f t="shared" si="4"/>
        <v>0</v>
      </c>
      <c r="R15" s="76">
        <f t="shared" si="4"/>
        <v>0</v>
      </c>
      <c r="S15" s="76">
        <f t="shared" si="4"/>
        <v>0</v>
      </c>
      <c r="T15" s="122"/>
    </row>
    <row r="16" spans="2:20" x14ac:dyDescent="0.25">
      <c r="B16" s="279"/>
      <c r="C16" s="291"/>
      <c r="D16" s="291"/>
      <c r="E16" s="40" t="s">
        <v>262</v>
      </c>
      <c r="F16" s="217">
        <f t="shared" si="3"/>
        <v>0</v>
      </c>
      <c r="G16" s="216">
        <v>0</v>
      </c>
      <c r="H16" s="217">
        <v>0</v>
      </c>
      <c r="I16" s="222"/>
      <c r="J16" s="225">
        <f>I16*103.4%</f>
        <v>0</v>
      </c>
      <c r="K16" s="225">
        <f>J16*103.3%</f>
        <v>0</v>
      </c>
      <c r="L16" s="225">
        <f>K16*103%</f>
        <v>0</v>
      </c>
      <c r="M16" s="225">
        <v>0</v>
      </c>
      <c r="N16" s="75">
        <f>L16*102.9%</f>
        <v>0</v>
      </c>
      <c r="O16" s="76">
        <f>N16*102.7%</f>
        <v>0</v>
      </c>
      <c r="P16" s="76">
        <f t="shared" si="4"/>
        <v>0</v>
      </c>
      <c r="Q16" s="76">
        <f t="shared" si="4"/>
        <v>0</v>
      </c>
      <c r="R16" s="76">
        <f t="shared" si="4"/>
        <v>0</v>
      </c>
      <c r="S16" s="76">
        <f t="shared" si="4"/>
        <v>0</v>
      </c>
      <c r="T16" s="122"/>
    </row>
    <row r="17" spans="2:20" s="146" customFormat="1" x14ac:dyDescent="0.25">
      <c r="B17" s="279"/>
      <c r="C17" s="291"/>
      <c r="D17" s="291"/>
      <c r="E17" s="145" t="s">
        <v>24</v>
      </c>
      <c r="F17" s="217">
        <f t="shared" si="3"/>
        <v>1158.4172150592938</v>
      </c>
      <c r="G17" s="216">
        <f>2750.3-2750.3</f>
        <v>0</v>
      </c>
      <c r="H17" s="217">
        <f>143.81-143.81</f>
        <v>0</v>
      </c>
      <c r="I17" s="226"/>
      <c r="J17" s="227">
        <f>(I11-J14)*103.4%</f>
        <v>0</v>
      </c>
      <c r="K17" s="227">
        <f>(J11-K14)*103.3%</f>
        <v>0</v>
      </c>
      <c r="L17" s="227">
        <f>(K11-L14)*103%</f>
        <v>152.74899999999997</v>
      </c>
      <c r="M17" s="227">
        <f>N17+O17+P17+Q17+R17+S17</f>
        <v>1005.6682150592937</v>
      </c>
      <c r="N17" s="75">
        <f>L17*102.9%</f>
        <v>157.178721</v>
      </c>
      <c r="O17" s="76">
        <f>N17*102.7%</f>
        <v>161.42254646700002</v>
      </c>
      <c r="P17" s="76">
        <f t="shared" si="4"/>
        <v>165.458110128675</v>
      </c>
      <c r="Q17" s="76">
        <f t="shared" si="4"/>
        <v>169.59456288189187</v>
      </c>
      <c r="R17" s="76">
        <f t="shared" si="4"/>
        <v>173.83442695393916</v>
      </c>
      <c r="S17" s="76">
        <f>R17*102.5%-0.00044</f>
        <v>178.17984762778764</v>
      </c>
      <c r="T17" s="122"/>
    </row>
    <row r="18" spans="2:20" ht="18" customHeight="1" x14ac:dyDescent="0.2">
      <c r="B18" s="292" t="s">
        <v>10</v>
      </c>
      <c r="C18" s="291" t="s">
        <v>208</v>
      </c>
      <c r="D18" s="291" t="s">
        <v>16</v>
      </c>
      <c r="E18" s="39" t="s">
        <v>34</v>
      </c>
      <c r="F18" s="222">
        <f t="shared" ref="F18:S18" si="5">F19+F20+F21+F22+F24</f>
        <v>14838.467932409414</v>
      </c>
      <c r="G18" s="223">
        <f>G19+G20+G21+G22+G24</f>
        <v>0</v>
      </c>
      <c r="H18" s="222">
        <f t="shared" ref="H18" si="6">H19+H20+H21+H22+H24</f>
        <v>222.7</v>
      </c>
      <c r="I18" s="222">
        <f t="shared" si="5"/>
        <v>3344.8739999999998</v>
      </c>
      <c r="J18" s="224">
        <f t="shared" si="5"/>
        <v>3487.0804499999999</v>
      </c>
      <c r="K18" s="224">
        <f t="shared" si="5"/>
        <v>2475.15445</v>
      </c>
      <c r="L18" s="224">
        <f t="shared" si="5"/>
        <v>700</v>
      </c>
      <c r="M18" s="224">
        <f t="shared" si="5"/>
        <v>4608.6590324094141</v>
      </c>
      <c r="N18" s="74">
        <f t="shared" si="5"/>
        <v>720.30000000000007</v>
      </c>
      <c r="O18" s="73">
        <f t="shared" si="5"/>
        <v>739.74810000000014</v>
      </c>
      <c r="P18" s="73">
        <f t="shared" si="5"/>
        <v>758.24180250000006</v>
      </c>
      <c r="Q18" s="73">
        <f t="shared" si="5"/>
        <v>777.19784756249999</v>
      </c>
      <c r="R18" s="73">
        <f t="shared" si="5"/>
        <v>796.62779375156242</v>
      </c>
      <c r="S18" s="73">
        <f t="shared" si="5"/>
        <v>816.54348859535139</v>
      </c>
      <c r="T18" s="121"/>
    </row>
    <row r="19" spans="2:20" x14ac:dyDescent="0.25">
      <c r="B19" s="292"/>
      <c r="C19" s="291"/>
      <c r="D19" s="291"/>
      <c r="E19" s="40" t="s">
        <v>6</v>
      </c>
      <c r="F19" s="217">
        <f t="shared" ref="F19:F24" si="7">G19+H19+I19+J19+K19+L19+M19</f>
        <v>0</v>
      </c>
      <c r="G19" s="216">
        <v>0</v>
      </c>
      <c r="H19" s="217">
        <v>0</v>
      </c>
      <c r="I19" s="222">
        <v>0</v>
      </c>
      <c r="J19" s="225">
        <v>0</v>
      </c>
      <c r="K19" s="225">
        <v>0</v>
      </c>
      <c r="L19" s="225">
        <v>0</v>
      </c>
      <c r="M19" s="225">
        <v>0</v>
      </c>
      <c r="N19" s="75">
        <f>L19*103%</f>
        <v>0</v>
      </c>
      <c r="O19" s="76">
        <f t="shared" ref="O19:O24" si="8">N19*102.7%</f>
        <v>0</v>
      </c>
      <c r="P19" s="76">
        <f t="shared" ref="P19:S24" si="9">O19*102.5%</f>
        <v>0</v>
      </c>
      <c r="Q19" s="76">
        <f t="shared" si="9"/>
        <v>0</v>
      </c>
      <c r="R19" s="76">
        <f t="shared" si="9"/>
        <v>0</v>
      </c>
      <c r="S19" s="76">
        <f t="shared" si="9"/>
        <v>0</v>
      </c>
      <c r="T19" s="122"/>
    </row>
    <row r="20" spans="2:20" x14ac:dyDescent="0.25">
      <c r="B20" s="292"/>
      <c r="C20" s="291"/>
      <c r="D20" s="291"/>
      <c r="E20" s="40" t="s">
        <v>7</v>
      </c>
      <c r="F20" s="217">
        <f t="shared" si="7"/>
        <v>0</v>
      </c>
      <c r="G20" s="216">
        <v>0</v>
      </c>
      <c r="H20" s="217">
        <v>0</v>
      </c>
      <c r="I20" s="222">
        <v>0</v>
      </c>
      <c r="J20" s="225">
        <v>0</v>
      </c>
      <c r="K20" s="225">
        <v>0</v>
      </c>
      <c r="L20" s="225">
        <v>0</v>
      </c>
      <c r="M20" s="225">
        <v>0</v>
      </c>
      <c r="N20" s="75">
        <f>L20*103%</f>
        <v>0</v>
      </c>
      <c r="O20" s="76">
        <f t="shared" si="8"/>
        <v>0</v>
      </c>
      <c r="P20" s="76">
        <f t="shared" si="9"/>
        <v>0</v>
      </c>
      <c r="Q20" s="76">
        <f t="shared" si="9"/>
        <v>0</v>
      </c>
      <c r="R20" s="76">
        <f t="shared" si="9"/>
        <v>0</v>
      </c>
      <c r="S20" s="76">
        <f t="shared" si="9"/>
        <v>0</v>
      </c>
      <c r="T20" s="122"/>
    </row>
    <row r="21" spans="2:20" x14ac:dyDescent="0.25">
      <c r="B21" s="292"/>
      <c r="C21" s="291"/>
      <c r="D21" s="291"/>
      <c r="E21" s="40" t="s">
        <v>8</v>
      </c>
      <c r="F21" s="217">
        <f>G21+H21+I21+J21+K21+L21+M21</f>
        <v>5281.9349000000002</v>
      </c>
      <c r="G21" s="216">
        <v>0</v>
      </c>
      <c r="H21" s="217">
        <f>379-156.3</f>
        <v>222.7</v>
      </c>
      <c r="I21" s="217">
        <f>1207+90</f>
        <v>1297</v>
      </c>
      <c r="J21" s="225">
        <v>1987.0804499999999</v>
      </c>
      <c r="K21" s="225">
        <v>1775.15445</v>
      </c>
      <c r="L21" s="225">
        <v>0</v>
      </c>
      <c r="M21" s="225">
        <v>0</v>
      </c>
      <c r="N21" s="75">
        <f>L21*102.9%</f>
        <v>0</v>
      </c>
      <c r="O21" s="76">
        <f t="shared" si="8"/>
        <v>0</v>
      </c>
      <c r="P21" s="76">
        <f t="shared" si="9"/>
        <v>0</v>
      </c>
      <c r="Q21" s="76">
        <f t="shared" si="9"/>
        <v>0</v>
      </c>
      <c r="R21" s="76">
        <f t="shared" si="9"/>
        <v>0</v>
      </c>
      <c r="S21" s="76">
        <f t="shared" si="9"/>
        <v>0</v>
      </c>
      <c r="T21" s="122"/>
    </row>
    <row r="22" spans="2:20" ht="31.5" x14ac:dyDescent="0.25">
      <c r="B22" s="292"/>
      <c r="C22" s="291"/>
      <c r="D22" s="291"/>
      <c r="E22" s="40" t="s">
        <v>9</v>
      </c>
      <c r="F22" s="217">
        <f t="shared" si="7"/>
        <v>0</v>
      </c>
      <c r="G22" s="216">
        <v>0</v>
      </c>
      <c r="H22" s="217">
        <v>0</v>
      </c>
      <c r="I22" s="222">
        <v>0</v>
      </c>
      <c r="J22" s="225">
        <v>0</v>
      </c>
      <c r="K22" s="225">
        <v>0</v>
      </c>
      <c r="L22" s="225">
        <v>0</v>
      </c>
      <c r="M22" s="225">
        <v>0</v>
      </c>
      <c r="N22" s="75">
        <f>L22*102.9%</f>
        <v>0</v>
      </c>
      <c r="O22" s="76">
        <f t="shared" si="8"/>
        <v>0</v>
      </c>
      <c r="P22" s="76">
        <f t="shared" si="9"/>
        <v>0</v>
      </c>
      <c r="Q22" s="76">
        <f t="shared" si="9"/>
        <v>0</v>
      </c>
      <c r="R22" s="76">
        <f t="shared" si="9"/>
        <v>0</v>
      </c>
      <c r="S22" s="76">
        <f t="shared" si="9"/>
        <v>0</v>
      </c>
      <c r="T22" s="122"/>
    </row>
    <row r="23" spans="2:20" x14ac:dyDescent="0.25">
      <c r="B23" s="292"/>
      <c r="C23" s="291"/>
      <c r="D23" s="291"/>
      <c r="E23" s="40" t="s">
        <v>262</v>
      </c>
      <c r="F23" s="217">
        <f t="shared" si="7"/>
        <v>0</v>
      </c>
      <c r="G23" s="216">
        <v>0</v>
      </c>
      <c r="H23" s="217">
        <v>0</v>
      </c>
      <c r="I23" s="222">
        <v>0</v>
      </c>
      <c r="J23" s="225">
        <f>I23*103.4%</f>
        <v>0</v>
      </c>
      <c r="K23" s="225">
        <f t="shared" ref="K23" si="10">J23*103.3%</f>
        <v>0</v>
      </c>
      <c r="L23" s="225">
        <f t="shared" ref="L23" si="11">K23*103%</f>
        <v>0</v>
      </c>
      <c r="M23" s="225">
        <f t="shared" ref="M23" si="12">N23+O23+P23+Q23+R23+S23</f>
        <v>0</v>
      </c>
      <c r="N23" s="75">
        <f>L23*102.9%</f>
        <v>0</v>
      </c>
      <c r="O23" s="76">
        <f t="shared" si="8"/>
        <v>0</v>
      </c>
      <c r="P23" s="76">
        <f t="shared" si="9"/>
        <v>0</v>
      </c>
      <c r="Q23" s="76">
        <f t="shared" si="9"/>
        <v>0</v>
      </c>
      <c r="R23" s="76">
        <f t="shared" si="9"/>
        <v>0</v>
      </c>
      <c r="S23" s="76">
        <f t="shared" si="9"/>
        <v>0</v>
      </c>
      <c r="T23" s="122"/>
    </row>
    <row r="24" spans="2:20" x14ac:dyDescent="0.25">
      <c r="B24" s="292"/>
      <c r="C24" s="291"/>
      <c r="D24" s="291"/>
      <c r="E24" s="63" t="s">
        <v>24</v>
      </c>
      <c r="F24" s="217">
        <f t="shared" si="7"/>
        <v>9556.5330324094139</v>
      </c>
      <c r="G24" s="216">
        <f>452.95-452.95</f>
        <v>0</v>
      </c>
      <c r="H24" s="217">
        <f>1532-1532</f>
        <v>0</v>
      </c>
      <c r="I24" s="217">
        <f>2067.874+70-90</f>
        <v>2047.8739999999998</v>
      </c>
      <c r="J24" s="225">
        <v>1500</v>
      </c>
      <c r="K24" s="225">
        <v>700</v>
      </c>
      <c r="L24" s="225">
        <v>700</v>
      </c>
      <c r="M24" s="225">
        <f>N24+O24+P24+Q24+R24+S24</f>
        <v>4608.6590324094141</v>
      </c>
      <c r="N24" s="75">
        <f>L24*102.9%</f>
        <v>720.30000000000007</v>
      </c>
      <c r="O24" s="76">
        <f t="shared" si="8"/>
        <v>739.74810000000014</v>
      </c>
      <c r="P24" s="76">
        <f t="shared" si="9"/>
        <v>758.24180250000006</v>
      </c>
      <c r="Q24" s="76">
        <f t="shared" si="9"/>
        <v>777.19784756249999</v>
      </c>
      <c r="R24" s="76">
        <f t="shared" si="9"/>
        <v>796.62779375156242</v>
      </c>
      <c r="S24" s="76">
        <f t="shared" si="9"/>
        <v>816.54348859535139</v>
      </c>
      <c r="T24" s="122"/>
    </row>
    <row r="25" spans="2:20" ht="18" customHeight="1" x14ac:dyDescent="0.2">
      <c r="B25" s="292"/>
      <c r="C25" s="291"/>
      <c r="D25" s="291" t="s">
        <v>88</v>
      </c>
      <c r="E25" s="39" t="s">
        <v>34</v>
      </c>
      <c r="F25" s="222">
        <f>SUM(F26:F31)</f>
        <v>523769.80000000005</v>
      </c>
      <c r="G25" s="223">
        <f>SUM(G26:G31)</f>
        <v>88918</v>
      </c>
      <c r="H25" s="222">
        <f>SUM(H26:H31)</f>
        <v>58193.490019999997</v>
      </c>
      <c r="I25" s="222">
        <f>SUM(I26:I31)</f>
        <v>176369.90998</v>
      </c>
      <c r="J25" s="224">
        <f t="shared" ref="J25:K25" si="13">J26+J27+J28+J29+J31</f>
        <v>200288.4</v>
      </c>
      <c r="K25" s="224">
        <f t="shared" si="13"/>
        <v>0</v>
      </c>
      <c r="L25" s="224">
        <f t="shared" ref="L25:S25" si="14">L26+L27+L28+L29+L31</f>
        <v>0</v>
      </c>
      <c r="M25" s="224">
        <f>M26+M27+M28+M29+M31</f>
        <v>0</v>
      </c>
      <c r="N25" s="74">
        <f t="shared" si="14"/>
        <v>0</v>
      </c>
      <c r="O25" s="73">
        <f t="shared" si="14"/>
        <v>0</v>
      </c>
      <c r="P25" s="73">
        <f t="shared" si="14"/>
        <v>0</v>
      </c>
      <c r="Q25" s="73">
        <f t="shared" si="14"/>
        <v>0</v>
      </c>
      <c r="R25" s="73">
        <f t="shared" si="14"/>
        <v>0</v>
      </c>
      <c r="S25" s="73">
        <f t="shared" si="14"/>
        <v>0</v>
      </c>
      <c r="T25" s="121"/>
    </row>
    <row r="26" spans="2:20" x14ac:dyDescent="0.25">
      <c r="B26" s="292"/>
      <c r="C26" s="291"/>
      <c r="D26" s="291"/>
      <c r="E26" s="40" t="s">
        <v>6</v>
      </c>
      <c r="F26" s="217">
        <f t="shared" ref="F26:F31" si="15">G26+H26+I26+J26+K26+L26+M26</f>
        <v>0</v>
      </c>
      <c r="G26" s="216">
        <v>0</v>
      </c>
      <c r="H26" s="217">
        <v>0</v>
      </c>
      <c r="I26" s="222">
        <v>0</v>
      </c>
      <c r="J26" s="225">
        <v>0</v>
      </c>
      <c r="K26" s="225">
        <v>0</v>
      </c>
      <c r="L26" s="225">
        <v>0</v>
      </c>
      <c r="M26" s="225">
        <v>0</v>
      </c>
      <c r="N26" s="75">
        <f>L26*103%</f>
        <v>0</v>
      </c>
      <c r="O26" s="76">
        <f t="shared" ref="O26:O31" si="16">N26*102.7%</f>
        <v>0</v>
      </c>
      <c r="P26" s="76">
        <f t="shared" ref="P26:S31" si="17">O26*102.5%</f>
        <v>0</v>
      </c>
      <c r="Q26" s="76">
        <f t="shared" si="17"/>
        <v>0</v>
      </c>
      <c r="R26" s="76">
        <f t="shared" si="17"/>
        <v>0</v>
      </c>
      <c r="S26" s="76">
        <f t="shared" si="17"/>
        <v>0</v>
      </c>
      <c r="T26" s="122"/>
    </row>
    <row r="27" spans="2:20" x14ac:dyDescent="0.25">
      <c r="B27" s="292"/>
      <c r="C27" s="291"/>
      <c r="D27" s="291"/>
      <c r="E27" s="40" t="s">
        <v>7</v>
      </c>
      <c r="F27" s="217">
        <f t="shared" si="15"/>
        <v>0</v>
      </c>
      <c r="G27" s="216">
        <v>0</v>
      </c>
      <c r="H27" s="217">
        <v>0</v>
      </c>
      <c r="I27" s="222">
        <v>0</v>
      </c>
      <c r="J27" s="225">
        <v>0</v>
      </c>
      <c r="K27" s="225">
        <v>0</v>
      </c>
      <c r="L27" s="225">
        <v>0</v>
      </c>
      <c r="M27" s="225">
        <v>0</v>
      </c>
      <c r="N27" s="75">
        <f>L27*103%</f>
        <v>0</v>
      </c>
      <c r="O27" s="76">
        <f t="shared" si="16"/>
        <v>0</v>
      </c>
      <c r="P27" s="76">
        <f t="shared" si="17"/>
        <v>0</v>
      </c>
      <c r="Q27" s="76">
        <f t="shared" si="17"/>
        <v>0</v>
      </c>
      <c r="R27" s="76">
        <f t="shared" si="17"/>
        <v>0</v>
      </c>
      <c r="S27" s="76">
        <f t="shared" si="17"/>
        <v>0</v>
      </c>
      <c r="T27" s="122"/>
    </row>
    <row r="28" spans="2:20" x14ac:dyDescent="0.25">
      <c r="B28" s="292"/>
      <c r="C28" s="291"/>
      <c r="D28" s="291"/>
      <c r="E28" s="40" t="s">
        <v>8</v>
      </c>
      <c r="F28" s="217">
        <f t="shared" si="15"/>
        <v>147111.49002</v>
      </c>
      <c r="G28" s="228">
        <v>88918</v>
      </c>
      <c r="H28" s="217">
        <v>58193.490019999997</v>
      </c>
      <c r="I28" s="229">
        <v>0</v>
      </c>
      <c r="J28" s="225">
        <v>0</v>
      </c>
      <c r="K28" s="225">
        <v>0</v>
      </c>
      <c r="L28" s="225">
        <v>0</v>
      </c>
      <c r="M28" s="225">
        <v>0</v>
      </c>
      <c r="N28" s="75">
        <f>L28*102.9%</f>
        <v>0</v>
      </c>
      <c r="O28" s="76">
        <f t="shared" si="16"/>
        <v>0</v>
      </c>
      <c r="P28" s="76">
        <f t="shared" si="17"/>
        <v>0</v>
      </c>
      <c r="Q28" s="76">
        <f t="shared" si="17"/>
        <v>0</v>
      </c>
      <c r="R28" s="76">
        <f t="shared" si="17"/>
        <v>0</v>
      </c>
      <c r="S28" s="76">
        <f t="shared" si="17"/>
        <v>0</v>
      </c>
      <c r="T28" s="122"/>
    </row>
    <row r="29" spans="2:20" ht="31.5" x14ac:dyDescent="0.25">
      <c r="B29" s="292"/>
      <c r="C29" s="291"/>
      <c r="D29" s="291"/>
      <c r="E29" s="40" t="s">
        <v>9</v>
      </c>
      <c r="F29" s="217">
        <f t="shared" si="15"/>
        <v>0</v>
      </c>
      <c r="G29" s="228">
        <v>0</v>
      </c>
      <c r="H29" s="217">
        <v>0</v>
      </c>
      <c r="I29" s="229">
        <v>0</v>
      </c>
      <c r="J29" s="225">
        <v>0</v>
      </c>
      <c r="K29" s="225">
        <v>0</v>
      </c>
      <c r="L29" s="225">
        <v>0</v>
      </c>
      <c r="M29" s="225">
        <v>0</v>
      </c>
      <c r="N29" s="75">
        <f>L29*102.9%</f>
        <v>0</v>
      </c>
      <c r="O29" s="76">
        <f t="shared" si="16"/>
        <v>0</v>
      </c>
      <c r="P29" s="76">
        <f t="shared" si="17"/>
        <v>0</v>
      </c>
      <c r="Q29" s="76">
        <f t="shared" si="17"/>
        <v>0</v>
      </c>
      <c r="R29" s="76">
        <f t="shared" si="17"/>
        <v>0</v>
      </c>
      <c r="S29" s="76">
        <f t="shared" si="17"/>
        <v>0</v>
      </c>
      <c r="T29" s="122"/>
    </row>
    <row r="30" spans="2:20" x14ac:dyDescent="0.25">
      <c r="B30" s="292"/>
      <c r="C30" s="291"/>
      <c r="D30" s="291"/>
      <c r="E30" s="40" t="s">
        <v>262</v>
      </c>
      <c r="F30" s="217">
        <f t="shared" si="15"/>
        <v>0</v>
      </c>
      <c r="G30" s="228">
        <v>0</v>
      </c>
      <c r="H30" s="217">
        <v>0</v>
      </c>
      <c r="I30" s="229">
        <v>0</v>
      </c>
      <c r="J30" s="225">
        <f>I30*103.4%</f>
        <v>0</v>
      </c>
      <c r="K30" s="225">
        <f t="shared" ref="K30" si="18">J30*103.3%</f>
        <v>0</v>
      </c>
      <c r="L30" s="225">
        <f t="shared" ref="L30" si="19">K30*103%</f>
        <v>0</v>
      </c>
      <c r="M30" s="225">
        <f t="shared" ref="M30" si="20">N30+O30+P30+Q30+R30+S30</f>
        <v>0</v>
      </c>
      <c r="N30" s="75">
        <f>L30*102.9%</f>
        <v>0</v>
      </c>
      <c r="O30" s="76">
        <f t="shared" si="16"/>
        <v>0</v>
      </c>
      <c r="P30" s="76">
        <f t="shared" si="17"/>
        <v>0</v>
      </c>
      <c r="Q30" s="76">
        <f t="shared" si="17"/>
        <v>0</v>
      </c>
      <c r="R30" s="76">
        <f t="shared" si="17"/>
        <v>0</v>
      </c>
      <c r="S30" s="76">
        <f t="shared" si="17"/>
        <v>0</v>
      </c>
      <c r="T30" s="122"/>
    </row>
    <row r="31" spans="2:20" ht="54.75" customHeight="1" x14ac:dyDescent="0.25">
      <c r="B31" s="292"/>
      <c r="C31" s="291"/>
      <c r="D31" s="291"/>
      <c r="E31" s="63" t="s">
        <v>24</v>
      </c>
      <c r="F31" s="217">
        <f t="shared" si="15"/>
        <v>376658.30998000002</v>
      </c>
      <c r="G31" s="230">
        <f>15355.725+60249-75604.725</f>
        <v>0</v>
      </c>
      <c r="H31" s="231">
        <f>3000+18546.59-3000-18546.59</f>
        <v>0</v>
      </c>
      <c r="I31" s="231">
        <f>133525.6-3000+45844.30998</f>
        <v>176369.90998</v>
      </c>
      <c r="J31" s="232">
        <v>200288.4</v>
      </c>
      <c r="K31" s="225">
        <v>0</v>
      </c>
      <c r="L31" s="225">
        <v>0</v>
      </c>
      <c r="M31" s="225">
        <v>0</v>
      </c>
      <c r="N31" s="75">
        <f>L31*102.9%</f>
        <v>0</v>
      </c>
      <c r="O31" s="76">
        <f t="shared" si="16"/>
        <v>0</v>
      </c>
      <c r="P31" s="76">
        <f t="shared" si="17"/>
        <v>0</v>
      </c>
      <c r="Q31" s="76">
        <f t="shared" si="17"/>
        <v>0</v>
      </c>
      <c r="R31" s="76">
        <f t="shared" si="17"/>
        <v>0</v>
      </c>
      <c r="S31" s="76">
        <f t="shared" si="17"/>
        <v>0</v>
      </c>
      <c r="T31" s="122"/>
    </row>
    <row r="32" spans="2:20" ht="20.25" customHeight="1" x14ac:dyDescent="0.2">
      <c r="B32" s="286" t="s">
        <v>11</v>
      </c>
      <c r="C32" s="280" t="s">
        <v>207</v>
      </c>
      <c r="D32" s="289" t="s">
        <v>16</v>
      </c>
      <c r="E32" s="77" t="s">
        <v>34</v>
      </c>
      <c r="F32" s="229">
        <f>F33+F34+F35+F36+F38</f>
        <v>6224</v>
      </c>
      <c r="G32" s="233">
        <f t="shared" ref="G32:S32" si="21">G33+G34+G35+G36+G38</f>
        <v>1495</v>
      </c>
      <c r="H32" s="222">
        <f t="shared" si="21"/>
        <v>0</v>
      </c>
      <c r="I32" s="229">
        <f t="shared" si="21"/>
        <v>2929</v>
      </c>
      <c r="J32" s="234">
        <f t="shared" si="21"/>
        <v>1800</v>
      </c>
      <c r="K32" s="234">
        <f t="shared" si="21"/>
        <v>0</v>
      </c>
      <c r="L32" s="234">
        <f t="shared" si="21"/>
        <v>0</v>
      </c>
      <c r="M32" s="234">
        <f t="shared" si="21"/>
        <v>0</v>
      </c>
      <c r="N32" s="74">
        <f t="shared" si="21"/>
        <v>0</v>
      </c>
      <c r="O32" s="73">
        <f t="shared" si="21"/>
        <v>0</v>
      </c>
      <c r="P32" s="73">
        <f t="shared" si="21"/>
        <v>0</v>
      </c>
      <c r="Q32" s="73">
        <f t="shared" si="21"/>
        <v>0</v>
      </c>
      <c r="R32" s="73">
        <f t="shared" si="21"/>
        <v>0</v>
      </c>
      <c r="S32" s="73">
        <f t="shared" si="21"/>
        <v>0</v>
      </c>
      <c r="T32" s="121"/>
    </row>
    <row r="33" spans="1:20" x14ac:dyDescent="0.25">
      <c r="B33" s="287"/>
      <c r="C33" s="281"/>
      <c r="D33" s="289"/>
      <c r="E33" s="78" t="s">
        <v>6</v>
      </c>
      <c r="F33" s="226">
        <f t="shared" ref="F33:F38" si="22">G33+H33+I33+J33+K33+L33+M33</f>
        <v>0</v>
      </c>
      <c r="G33" s="228">
        <v>0</v>
      </c>
      <c r="H33" s="217">
        <v>0</v>
      </c>
      <c r="I33" s="229">
        <v>0</v>
      </c>
      <c r="J33" s="227">
        <v>0</v>
      </c>
      <c r="K33" s="227">
        <v>0</v>
      </c>
      <c r="L33" s="227">
        <v>0</v>
      </c>
      <c r="M33" s="227">
        <v>0</v>
      </c>
      <c r="N33" s="75">
        <f>L33*103%</f>
        <v>0</v>
      </c>
      <c r="O33" s="76">
        <f t="shared" ref="O33:O38" si="23">N33*102.7%</f>
        <v>0</v>
      </c>
      <c r="P33" s="76">
        <f t="shared" ref="P33:S38" si="24">O33*102.5%</f>
        <v>0</v>
      </c>
      <c r="Q33" s="76">
        <f t="shared" si="24"/>
        <v>0</v>
      </c>
      <c r="R33" s="76">
        <f t="shared" si="24"/>
        <v>0</v>
      </c>
      <c r="S33" s="76">
        <f t="shared" si="24"/>
        <v>0</v>
      </c>
      <c r="T33" s="122"/>
    </row>
    <row r="34" spans="1:20" x14ac:dyDescent="0.25">
      <c r="B34" s="287"/>
      <c r="C34" s="281"/>
      <c r="D34" s="289"/>
      <c r="E34" s="78" t="s">
        <v>7</v>
      </c>
      <c r="F34" s="226">
        <f t="shared" si="22"/>
        <v>0</v>
      </c>
      <c r="G34" s="228">
        <v>0</v>
      </c>
      <c r="H34" s="217">
        <v>0</v>
      </c>
      <c r="I34" s="229">
        <v>0</v>
      </c>
      <c r="J34" s="227">
        <v>0</v>
      </c>
      <c r="K34" s="227">
        <v>0</v>
      </c>
      <c r="L34" s="227">
        <v>0</v>
      </c>
      <c r="M34" s="227">
        <v>0</v>
      </c>
      <c r="N34" s="75">
        <f>L34*103%</f>
        <v>0</v>
      </c>
      <c r="O34" s="76">
        <f t="shared" si="23"/>
        <v>0</v>
      </c>
      <c r="P34" s="76">
        <f t="shared" si="24"/>
        <v>0</v>
      </c>
      <c r="Q34" s="76">
        <f t="shared" si="24"/>
        <v>0</v>
      </c>
      <c r="R34" s="76">
        <f t="shared" si="24"/>
        <v>0</v>
      </c>
      <c r="S34" s="76">
        <f t="shared" si="24"/>
        <v>0</v>
      </c>
      <c r="T34" s="122"/>
    </row>
    <row r="35" spans="1:20" ht="18" customHeight="1" x14ac:dyDescent="0.25">
      <c r="B35" s="287"/>
      <c r="C35" s="281"/>
      <c r="D35" s="289"/>
      <c r="E35" s="78" t="s">
        <v>8</v>
      </c>
      <c r="F35" s="226">
        <f t="shared" si="22"/>
        <v>2375</v>
      </c>
      <c r="G35" s="228">
        <f>1000+495</f>
        <v>1495</v>
      </c>
      <c r="H35" s="217">
        <v>0</v>
      </c>
      <c r="I35" s="226">
        <v>880</v>
      </c>
      <c r="J35" s="227">
        <v>0</v>
      </c>
      <c r="K35" s="227">
        <v>0</v>
      </c>
      <c r="L35" s="227">
        <v>0</v>
      </c>
      <c r="M35" s="227">
        <v>0</v>
      </c>
      <c r="N35" s="75">
        <f>L35*102.9%</f>
        <v>0</v>
      </c>
      <c r="O35" s="76">
        <f t="shared" si="23"/>
        <v>0</v>
      </c>
      <c r="P35" s="76">
        <f t="shared" si="24"/>
        <v>0</v>
      </c>
      <c r="Q35" s="76">
        <f t="shared" si="24"/>
        <v>0</v>
      </c>
      <c r="R35" s="76">
        <f t="shared" si="24"/>
        <v>0</v>
      </c>
      <c r="S35" s="76">
        <f t="shared" si="24"/>
        <v>0</v>
      </c>
      <c r="T35" s="122"/>
    </row>
    <row r="36" spans="1:20" ht="31.5" x14ac:dyDescent="0.25">
      <c r="B36" s="287"/>
      <c r="C36" s="281"/>
      <c r="D36" s="289"/>
      <c r="E36" s="78" t="s">
        <v>9</v>
      </c>
      <c r="F36" s="226">
        <f t="shared" si="22"/>
        <v>0</v>
      </c>
      <c r="G36" s="228">
        <v>0</v>
      </c>
      <c r="H36" s="217">
        <v>0</v>
      </c>
      <c r="I36" s="229">
        <v>0</v>
      </c>
      <c r="J36" s="227">
        <v>0</v>
      </c>
      <c r="K36" s="227">
        <v>0</v>
      </c>
      <c r="L36" s="227">
        <v>0</v>
      </c>
      <c r="M36" s="227">
        <v>0</v>
      </c>
      <c r="N36" s="75">
        <f>L36*102.9%</f>
        <v>0</v>
      </c>
      <c r="O36" s="76">
        <f t="shared" si="23"/>
        <v>0</v>
      </c>
      <c r="P36" s="76">
        <f t="shared" si="24"/>
        <v>0</v>
      </c>
      <c r="Q36" s="76">
        <f t="shared" si="24"/>
        <v>0</v>
      </c>
      <c r="R36" s="76">
        <f t="shared" si="24"/>
        <v>0</v>
      </c>
      <c r="S36" s="76">
        <f t="shared" si="24"/>
        <v>0</v>
      </c>
      <c r="T36" s="122"/>
    </row>
    <row r="37" spans="1:20" x14ac:dyDescent="0.25">
      <c r="B37" s="287"/>
      <c r="C37" s="281"/>
      <c r="D37" s="289"/>
      <c r="E37" s="78" t="s">
        <v>262</v>
      </c>
      <c r="F37" s="226">
        <f t="shared" si="22"/>
        <v>0</v>
      </c>
      <c r="G37" s="228">
        <v>0</v>
      </c>
      <c r="H37" s="217">
        <v>0</v>
      </c>
      <c r="I37" s="229">
        <v>0</v>
      </c>
      <c r="J37" s="227">
        <v>0</v>
      </c>
      <c r="K37" s="227">
        <v>0</v>
      </c>
      <c r="L37" s="227">
        <v>0</v>
      </c>
      <c r="M37" s="227">
        <v>0</v>
      </c>
      <c r="N37" s="75">
        <f>L37*102.9%</f>
        <v>0</v>
      </c>
      <c r="O37" s="76">
        <f t="shared" si="23"/>
        <v>0</v>
      </c>
      <c r="P37" s="76">
        <f t="shared" si="24"/>
        <v>0</v>
      </c>
      <c r="Q37" s="76">
        <f t="shared" si="24"/>
        <v>0</v>
      </c>
      <c r="R37" s="76">
        <f t="shared" si="24"/>
        <v>0</v>
      </c>
      <c r="S37" s="76">
        <f t="shared" si="24"/>
        <v>0</v>
      </c>
      <c r="T37" s="122"/>
    </row>
    <row r="38" spans="1:20" x14ac:dyDescent="0.25">
      <c r="B38" s="288"/>
      <c r="C38" s="282"/>
      <c r="D38" s="280"/>
      <c r="E38" s="156" t="s">
        <v>24</v>
      </c>
      <c r="F38" s="235">
        <f t="shared" si="22"/>
        <v>3849</v>
      </c>
      <c r="G38" s="236">
        <f>26912.12-26912.12</f>
        <v>0</v>
      </c>
      <c r="H38" s="237">
        <v>0</v>
      </c>
      <c r="I38" s="226">
        <v>2049</v>
      </c>
      <c r="J38" s="227">
        <v>1800</v>
      </c>
      <c r="K38" s="227">
        <v>0</v>
      </c>
      <c r="L38" s="227">
        <v>0</v>
      </c>
      <c r="M38" s="227">
        <v>0</v>
      </c>
      <c r="N38" s="75">
        <f>L38*102.9%</f>
        <v>0</v>
      </c>
      <c r="O38" s="76">
        <f t="shared" si="23"/>
        <v>0</v>
      </c>
      <c r="P38" s="76">
        <f t="shared" si="24"/>
        <v>0</v>
      </c>
      <c r="Q38" s="76">
        <f t="shared" si="24"/>
        <v>0</v>
      </c>
      <c r="R38" s="76">
        <f t="shared" si="24"/>
        <v>0</v>
      </c>
      <c r="S38" s="76">
        <f t="shared" si="24"/>
        <v>0</v>
      </c>
      <c r="T38" s="122"/>
    </row>
    <row r="39" spans="1:20" ht="18.75" customHeight="1" x14ac:dyDescent="0.2">
      <c r="B39" s="286" t="s">
        <v>35</v>
      </c>
      <c r="C39" s="280" t="s">
        <v>212</v>
      </c>
      <c r="D39" s="289" t="s">
        <v>16</v>
      </c>
      <c r="E39" s="77" t="s">
        <v>34</v>
      </c>
      <c r="F39" s="229">
        <f t="shared" ref="F39:S39" si="25">F40+F41+F42+F43+F45</f>
        <v>1924179.4315007774</v>
      </c>
      <c r="G39" s="233">
        <f t="shared" si="25"/>
        <v>124209.70008000001</v>
      </c>
      <c r="H39" s="222">
        <f t="shared" si="25"/>
        <v>85306.96974</v>
      </c>
      <c r="I39" s="229">
        <f>I40+I41+I42+I43+I45</f>
        <v>156880.28250999999</v>
      </c>
      <c r="J39" s="234">
        <f t="shared" si="25"/>
        <v>160750.62209399999</v>
      </c>
      <c r="K39" s="234">
        <f t="shared" si="25"/>
        <v>164075.12438029196</v>
      </c>
      <c r="L39" s="234">
        <f t="shared" si="25"/>
        <v>167197.13425460074</v>
      </c>
      <c r="M39" s="234">
        <f t="shared" si="25"/>
        <v>1065759.5984418844</v>
      </c>
      <c r="N39" s="74">
        <f t="shared" si="25"/>
        <v>170305.61541945417</v>
      </c>
      <c r="O39" s="73">
        <f t="shared" si="25"/>
        <v>173283.64756438945</v>
      </c>
      <c r="P39" s="73">
        <f t="shared" si="25"/>
        <v>176115.53553924916</v>
      </c>
      <c r="Q39" s="73">
        <f t="shared" si="25"/>
        <v>179018.22071348038</v>
      </c>
      <c r="R39" s="73">
        <f t="shared" si="25"/>
        <v>181993.47301706736</v>
      </c>
      <c r="S39" s="73">
        <f t="shared" si="25"/>
        <v>185043.10618824404</v>
      </c>
      <c r="T39" s="121"/>
    </row>
    <row r="40" spans="1:20" ht="15.75" customHeight="1" x14ac:dyDescent="0.25">
      <c r="B40" s="287"/>
      <c r="C40" s="281"/>
      <c r="D40" s="289"/>
      <c r="E40" s="78" t="s">
        <v>6</v>
      </c>
      <c r="F40" s="226">
        <f t="shared" ref="F40:F44" si="26">G40+H40+I40+J40+K40+L40+M40</f>
        <v>0</v>
      </c>
      <c r="G40" s="216">
        <v>0</v>
      </c>
      <c r="H40" s="217">
        <v>0</v>
      </c>
      <c r="I40" s="222"/>
      <c r="J40" s="225">
        <f>I40*103.4%</f>
        <v>0</v>
      </c>
      <c r="K40" s="225">
        <f>J40*103.3%</f>
        <v>0</v>
      </c>
      <c r="L40" s="225">
        <f>K40*103%</f>
        <v>0</v>
      </c>
      <c r="M40" s="227">
        <f t="shared" ref="M40:M44" si="27">N40+O40+P40+Q40+R40+S40</f>
        <v>0</v>
      </c>
      <c r="N40" s="75">
        <f>L40*103%</f>
        <v>0</v>
      </c>
      <c r="O40" s="76">
        <f>N40*102.7%</f>
        <v>0</v>
      </c>
      <c r="P40" s="76">
        <f t="shared" ref="P40:S41" si="28">O40*102.5%</f>
        <v>0</v>
      </c>
      <c r="Q40" s="76">
        <f t="shared" si="28"/>
        <v>0</v>
      </c>
      <c r="R40" s="76">
        <f t="shared" si="28"/>
        <v>0</v>
      </c>
      <c r="S40" s="76">
        <f t="shared" si="28"/>
        <v>0</v>
      </c>
      <c r="T40" s="122"/>
    </row>
    <row r="41" spans="1:20" x14ac:dyDescent="0.25">
      <c r="B41" s="287"/>
      <c r="C41" s="281"/>
      <c r="D41" s="289"/>
      <c r="E41" s="78" t="s">
        <v>7</v>
      </c>
      <c r="F41" s="226">
        <f t="shared" si="26"/>
        <v>340</v>
      </c>
      <c r="G41" s="216">
        <v>340</v>
      </c>
      <c r="H41" s="217">
        <v>0</v>
      </c>
      <c r="I41" s="222"/>
      <c r="J41" s="225">
        <f>I41*103.4%</f>
        <v>0</v>
      </c>
      <c r="K41" s="225">
        <f>J41*103.3%</f>
        <v>0</v>
      </c>
      <c r="L41" s="225">
        <f>K41*103%</f>
        <v>0</v>
      </c>
      <c r="M41" s="227">
        <f t="shared" si="27"/>
        <v>0</v>
      </c>
      <c r="N41" s="75">
        <f>L41*103%</f>
        <v>0</v>
      </c>
      <c r="O41" s="76">
        <f>N41*102.7%</f>
        <v>0</v>
      </c>
      <c r="P41" s="76">
        <f t="shared" si="28"/>
        <v>0</v>
      </c>
      <c r="Q41" s="76">
        <f t="shared" si="28"/>
        <v>0</v>
      </c>
      <c r="R41" s="76">
        <f t="shared" si="28"/>
        <v>0</v>
      </c>
      <c r="S41" s="76">
        <f t="shared" si="28"/>
        <v>0</v>
      </c>
      <c r="T41" s="122"/>
    </row>
    <row r="42" spans="1:20" x14ac:dyDescent="0.25">
      <c r="B42" s="287"/>
      <c r="C42" s="281"/>
      <c r="D42" s="289"/>
      <c r="E42" s="78" t="s">
        <v>8</v>
      </c>
      <c r="F42" s="226">
        <f>G42+H42+I42+J42+K42+L42+M42</f>
        <v>870417.21328000003</v>
      </c>
      <c r="G42" s="216">
        <f>(134071.92395+2035.29-5000-16866.30632)+9628.79245</f>
        <v>123869.70008000001</v>
      </c>
      <c r="H42" s="217">
        <f>95479.96215-1158-2677.22137-1201.291-910.29718-488.80431-244.6-2020-722.77855-750</f>
        <v>85306.96974</v>
      </c>
      <c r="I42" s="217">
        <f>121658.16133-560</f>
        <v>121098.16133</v>
      </c>
      <c r="J42" s="217">
        <f>60103.27857-25.925</f>
        <v>60077.353569999999</v>
      </c>
      <c r="K42" s="217">
        <f>60103.27857-95.15</f>
        <v>60008.128570000001</v>
      </c>
      <c r="L42" s="225">
        <f>K42</f>
        <v>60008.128570000001</v>
      </c>
      <c r="M42" s="227">
        <f>N42+O42+P42+Q42+R42+S42</f>
        <v>360048.77142</v>
      </c>
      <c r="N42" s="75">
        <f>L42</f>
        <v>60008.128570000001</v>
      </c>
      <c r="O42" s="76">
        <f>N42</f>
        <v>60008.128570000001</v>
      </c>
      <c r="P42" s="76">
        <f>O42</f>
        <v>60008.128570000001</v>
      </c>
      <c r="Q42" s="76">
        <f>P42</f>
        <v>60008.128570000001</v>
      </c>
      <c r="R42" s="76">
        <f>Q42</f>
        <v>60008.128570000001</v>
      </c>
      <c r="S42" s="76">
        <f>R42</f>
        <v>60008.128570000001</v>
      </c>
      <c r="T42" s="122"/>
    </row>
    <row r="43" spans="1:20" ht="31.5" x14ac:dyDescent="0.25">
      <c r="B43" s="287"/>
      <c r="C43" s="281"/>
      <c r="D43" s="289"/>
      <c r="E43" s="78" t="s">
        <v>9</v>
      </c>
      <c r="F43" s="226">
        <f t="shared" si="26"/>
        <v>0</v>
      </c>
      <c r="G43" s="216">
        <v>0</v>
      </c>
      <c r="H43" s="217">
        <v>0</v>
      </c>
      <c r="I43" s="217">
        <v>0</v>
      </c>
      <c r="J43" s="225">
        <f>I43*103.4%</f>
        <v>0</v>
      </c>
      <c r="K43" s="225">
        <f>J43*103.3%</f>
        <v>0</v>
      </c>
      <c r="L43" s="225">
        <f>K43*103%</f>
        <v>0</v>
      </c>
      <c r="M43" s="227">
        <f t="shared" si="27"/>
        <v>0</v>
      </c>
      <c r="N43" s="75">
        <f>L43*102.9%</f>
        <v>0</v>
      </c>
      <c r="O43" s="76">
        <f>N43*102.7%</f>
        <v>0</v>
      </c>
      <c r="P43" s="76">
        <f t="shared" ref="P43:S45" si="29">O43*102.5%</f>
        <v>0</v>
      </c>
      <c r="Q43" s="76">
        <f t="shared" si="29"/>
        <v>0</v>
      </c>
      <c r="R43" s="76">
        <f t="shared" si="29"/>
        <v>0</v>
      </c>
      <c r="S43" s="76">
        <f t="shared" si="29"/>
        <v>0</v>
      </c>
      <c r="T43" s="122"/>
    </row>
    <row r="44" spans="1:20" x14ac:dyDescent="0.25">
      <c r="B44" s="287"/>
      <c r="C44" s="281"/>
      <c r="D44" s="289"/>
      <c r="E44" s="78" t="s">
        <v>262</v>
      </c>
      <c r="F44" s="226">
        <f t="shared" si="26"/>
        <v>0</v>
      </c>
      <c r="G44" s="216">
        <v>0</v>
      </c>
      <c r="H44" s="217">
        <v>0</v>
      </c>
      <c r="I44" s="217"/>
      <c r="J44" s="225">
        <f>I44*103.4%</f>
        <v>0</v>
      </c>
      <c r="K44" s="225">
        <f>J44*103.3%</f>
        <v>0</v>
      </c>
      <c r="L44" s="225">
        <f>K44*103%</f>
        <v>0</v>
      </c>
      <c r="M44" s="227">
        <f t="shared" si="27"/>
        <v>0</v>
      </c>
      <c r="N44" s="75">
        <f>L44*102.9%</f>
        <v>0</v>
      </c>
      <c r="O44" s="76">
        <f>N44*102.7%</f>
        <v>0</v>
      </c>
      <c r="P44" s="76">
        <f t="shared" si="29"/>
        <v>0</v>
      </c>
      <c r="Q44" s="76">
        <f t="shared" si="29"/>
        <v>0</v>
      </c>
      <c r="R44" s="76">
        <f t="shared" si="29"/>
        <v>0</v>
      </c>
      <c r="S44" s="76">
        <f t="shared" si="29"/>
        <v>0</v>
      </c>
      <c r="T44" s="122"/>
    </row>
    <row r="45" spans="1:20" x14ac:dyDescent="0.25">
      <c r="A45" s="147"/>
      <c r="B45" s="287"/>
      <c r="C45" s="281"/>
      <c r="D45" s="289"/>
      <c r="E45" s="148" t="s">
        <v>24</v>
      </c>
      <c r="F45" s="226">
        <f>G45+H45+I45+J45+K45+L45+M45</f>
        <v>1053422.2182207773</v>
      </c>
      <c r="G45" s="216">
        <f>5718.782-5718.782</f>
        <v>0</v>
      </c>
      <c r="H45" s="217">
        <v>0</v>
      </c>
      <c r="I45" s="217">
        <v>35782.121180000002</v>
      </c>
      <c r="J45" s="225">
        <v>100673.268524</v>
      </c>
      <c r="K45" s="225">
        <f>(J39-K42)*103.3%</f>
        <v>104066.99581029198</v>
      </c>
      <c r="L45" s="225">
        <f>(K39-L42)*103%</f>
        <v>107189.00568460072</v>
      </c>
      <c r="M45" s="227">
        <f>N45+O45+P45+Q45+R45+S45</f>
        <v>705710.8270218845</v>
      </c>
      <c r="N45" s="75">
        <f>L45*102.9%</f>
        <v>110297.48684945416</v>
      </c>
      <c r="O45" s="76">
        <f>N45*102.7%</f>
        <v>113275.51899438944</v>
      </c>
      <c r="P45" s="76">
        <f t="shared" si="29"/>
        <v>116107.40696924916</v>
      </c>
      <c r="Q45" s="76">
        <f t="shared" si="29"/>
        <v>119010.09214348037</v>
      </c>
      <c r="R45" s="76">
        <f t="shared" si="29"/>
        <v>121985.34444706737</v>
      </c>
      <c r="S45" s="76">
        <f>R45*102.5%-0.00044</f>
        <v>125034.97761824404</v>
      </c>
      <c r="T45" s="122"/>
    </row>
    <row r="46" spans="1:20" ht="20.25" customHeight="1" x14ac:dyDescent="0.2">
      <c r="B46" s="287"/>
      <c r="C46" s="281"/>
      <c r="D46" s="280" t="s">
        <v>246</v>
      </c>
      <c r="E46" s="77" t="s">
        <v>34</v>
      </c>
      <c r="F46" s="229">
        <f t="shared" ref="F46:S46" si="30">F47+F48+F49+F50+F52</f>
        <v>285134.23694068659</v>
      </c>
      <c r="G46" s="233">
        <f t="shared" si="30"/>
        <v>18418.084219999997</v>
      </c>
      <c r="H46" s="222">
        <f t="shared" si="30"/>
        <v>19062.234499999999</v>
      </c>
      <c r="I46" s="229">
        <f t="shared" si="30"/>
        <v>25296.29999</v>
      </c>
      <c r="J46" s="229">
        <f t="shared" si="30"/>
        <v>25987.789106799999</v>
      </c>
      <c r="K46" s="229">
        <f t="shared" si="30"/>
        <v>26681.759449254398</v>
      </c>
      <c r="L46" s="229">
        <f t="shared" si="30"/>
        <v>22375.075899032028</v>
      </c>
      <c r="M46" s="234">
        <f t="shared" si="30"/>
        <v>147312.99377560022</v>
      </c>
      <c r="N46" s="74">
        <f t="shared" si="30"/>
        <v>23023.953100103961</v>
      </c>
      <c r="O46" s="73">
        <f t="shared" si="30"/>
        <v>23645.599833806773</v>
      </c>
      <c r="P46" s="73">
        <f t="shared" si="30"/>
        <v>24236.739829651939</v>
      </c>
      <c r="Q46" s="73">
        <f t="shared" si="30"/>
        <v>24842.658325393237</v>
      </c>
      <c r="R46" s="73">
        <f t="shared" si="30"/>
        <v>25463.724783528065</v>
      </c>
      <c r="S46" s="73">
        <f t="shared" si="30"/>
        <v>26100.317903116265</v>
      </c>
      <c r="T46" s="121"/>
    </row>
    <row r="47" spans="1:20" x14ac:dyDescent="0.25">
      <c r="B47" s="287"/>
      <c r="C47" s="281"/>
      <c r="D47" s="281"/>
      <c r="E47" s="78" t="s">
        <v>6</v>
      </c>
      <c r="F47" s="226">
        <f t="shared" ref="F47:F48" si="31">G47+H47+I47+J47+K47+L47+M47</f>
        <v>0</v>
      </c>
      <c r="G47" s="216">
        <v>0</v>
      </c>
      <c r="H47" s="217">
        <v>0</v>
      </c>
      <c r="I47" s="217">
        <v>0</v>
      </c>
      <c r="J47" s="225">
        <f>I47*103.4%</f>
        <v>0</v>
      </c>
      <c r="K47" s="225">
        <f>J47*103.3%</f>
        <v>0</v>
      </c>
      <c r="L47" s="225">
        <f>K47*103%</f>
        <v>0</v>
      </c>
      <c r="M47" s="225">
        <f t="shared" ref="M47:M48" si="32">N47+O47+P47+Q47+R47+S47</f>
        <v>0</v>
      </c>
      <c r="N47" s="75">
        <f>L47*103%</f>
        <v>0</v>
      </c>
      <c r="O47" s="76">
        <f>N47*102.7%</f>
        <v>0</v>
      </c>
      <c r="P47" s="76">
        <f t="shared" ref="P47:S48" si="33">O47*102.5%</f>
        <v>0</v>
      </c>
      <c r="Q47" s="76">
        <f t="shared" si="33"/>
        <v>0</v>
      </c>
      <c r="R47" s="76">
        <f t="shared" si="33"/>
        <v>0</v>
      </c>
      <c r="S47" s="76">
        <f t="shared" si="33"/>
        <v>0</v>
      </c>
      <c r="T47" s="122"/>
    </row>
    <row r="48" spans="1:20" x14ac:dyDescent="0.25">
      <c r="B48" s="287"/>
      <c r="C48" s="281"/>
      <c r="D48" s="281"/>
      <c r="E48" s="78" t="s">
        <v>7</v>
      </c>
      <c r="F48" s="226">
        <f t="shared" si="31"/>
        <v>0</v>
      </c>
      <c r="G48" s="216">
        <v>0</v>
      </c>
      <c r="H48" s="217">
        <v>0</v>
      </c>
      <c r="I48" s="217">
        <v>0</v>
      </c>
      <c r="J48" s="225">
        <f>I48*103.4%</f>
        <v>0</v>
      </c>
      <c r="K48" s="225">
        <f>J48*103.3%</f>
        <v>0</v>
      </c>
      <c r="L48" s="225">
        <f>K48*103%</f>
        <v>0</v>
      </c>
      <c r="M48" s="225">
        <f t="shared" si="32"/>
        <v>0</v>
      </c>
      <c r="N48" s="75">
        <f>L48*103%</f>
        <v>0</v>
      </c>
      <c r="O48" s="76">
        <f>N48*102.7%</f>
        <v>0</v>
      </c>
      <c r="P48" s="76">
        <f t="shared" si="33"/>
        <v>0</v>
      </c>
      <c r="Q48" s="76">
        <f t="shared" si="33"/>
        <v>0</v>
      </c>
      <c r="R48" s="76">
        <f t="shared" si="33"/>
        <v>0</v>
      </c>
      <c r="S48" s="76">
        <f t="shared" si="33"/>
        <v>0</v>
      </c>
      <c r="T48" s="122"/>
    </row>
    <row r="49" spans="2:21" ht="20.25" customHeight="1" x14ac:dyDescent="0.25">
      <c r="B49" s="287"/>
      <c r="C49" s="281"/>
      <c r="D49" s="281"/>
      <c r="E49" s="78" t="s">
        <v>8</v>
      </c>
      <c r="F49" s="226">
        <f>G49+H49+I49+J49+K49+L49+M49</f>
        <v>71505.489919999993</v>
      </c>
      <c r="G49" s="216">
        <f>18151.48422+266.6</f>
        <v>18418.084219999997</v>
      </c>
      <c r="H49" s="217">
        <f>19008.37244+244.6-181.43494-9.303</f>
        <v>19062.234499999999</v>
      </c>
      <c r="I49" s="217">
        <f>4958.38479+19150.01683</f>
        <v>24108.401620000001</v>
      </c>
      <c r="J49" s="217">
        <f>4958.38479</f>
        <v>4958.3847900000001</v>
      </c>
      <c r="K49" s="217">
        <f>4958.38479</f>
        <v>4958.3847900000001</v>
      </c>
      <c r="L49" s="238"/>
      <c r="M49" s="225">
        <f>N49+O49+P49+Q49+R49+S49</f>
        <v>0</v>
      </c>
      <c r="N49" s="75">
        <f>L49</f>
        <v>0</v>
      </c>
      <c r="O49" s="76">
        <f>N49</f>
        <v>0</v>
      </c>
      <c r="P49" s="76">
        <f>O49</f>
        <v>0</v>
      </c>
      <c r="Q49" s="76">
        <f>P49</f>
        <v>0</v>
      </c>
      <c r="R49" s="76">
        <f>Q49</f>
        <v>0</v>
      </c>
      <c r="S49" s="76">
        <f>R49</f>
        <v>0</v>
      </c>
      <c r="T49" s="122"/>
    </row>
    <row r="50" spans="2:21" ht="31.5" x14ac:dyDescent="0.25">
      <c r="B50" s="287"/>
      <c r="C50" s="281"/>
      <c r="D50" s="281"/>
      <c r="E50" s="78" t="s">
        <v>9</v>
      </c>
      <c r="F50" s="226">
        <f t="shared" ref="F50:F51" si="34">G50+H50+I50+J50+K50+L50+M50</f>
        <v>0</v>
      </c>
      <c r="G50" s="216">
        <v>0</v>
      </c>
      <c r="H50" s="217">
        <v>0</v>
      </c>
      <c r="I50" s="217">
        <v>0</v>
      </c>
      <c r="J50" s="225">
        <f>I50*103.4%</f>
        <v>0</v>
      </c>
      <c r="K50" s="225">
        <f>J50*103.3%</f>
        <v>0</v>
      </c>
      <c r="L50" s="225">
        <v>0</v>
      </c>
      <c r="M50" s="225">
        <f t="shared" ref="M50:M51" si="35">N50+O50+P50+Q50+R50+S50</f>
        <v>0</v>
      </c>
      <c r="N50" s="75">
        <f>L50*102.9%</f>
        <v>0</v>
      </c>
      <c r="O50" s="76">
        <f>N50*102.7%</f>
        <v>0</v>
      </c>
      <c r="P50" s="76">
        <f t="shared" ref="P50:S52" si="36">O50*102.5%</f>
        <v>0</v>
      </c>
      <c r="Q50" s="76">
        <f t="shared" si="36"/>
        <v>0</v>
      </c>
      <c r="R50" s="76">
        <f t="shared" si="36"/>
        <v>0</v>
      </c>
      <c r="S50" s="76">
        <f t="shared" si="36"/>
        <v>0</v>
      </c>
      <c r="T50" s="122"/>
    </row>
    <row r="51" spans="2:21" x14ac:dyDescent="0.25">
      <c r="B51" s="287"/>
      <c r="C51" s="281"/>
      <c r="D51" s="281"/>
      <c r="E51" s="78" t="s">
        <v>262</v>
      </c>
      <c r="F51" s="226">
        <f t="shared" si="34"/>
        <v>0</v>
      </c>
      <c r="G51" s="216">
        <v>0</v>
      </c>
      <c r="H51" s="217">
        <v>0</v>
      </c>
      <c r="I51" s="217">
        <v>0</v>
      </c>
      <c r="J51" s="225">
        <f>I51*103.4%</f>
        <v>0</v>
      </c>
      <c r="K51" s="225">
        <f>J51*103.3%</f>
        <v>0</v>
      </c>
      <c r="L51" s="225">
        <f>K51*103%</f>
        <v>0</v>
      </c>
      <c r="M51" s="225">
        <f t="shared" si="35"/>
        <v>0</v>
      </c>
      <c r="N51" s="75">
        <f>L51*102.9%</f>
        <v>0</v>
      </c>
      <c r="O51" s="76">
        <f>N51*102.7%</f>
        <v>0</v>
      </c>
      <c r="P51" s="76">
        <f t="shared" si="36"/>
        <v>0</v>
      </c>
      <c r="Q51" s="76">
        <f t="shared" si="36"/>
        <v>0</v>
      </c>
      <c r="R51" s="76">
        <f t="shared" si="36"/>
        <v>0</v>
      </c>
      <c r="S51" s="76">
        <f t="shared" si="36"/>
        <v>0</v>
      </c>
      <c r="T51" s="122"/>
    </row>
    <row r="52" spans="2:21" s="147" customFormat="1" x14ac:dyDescent="0.25">
      <c r="B52" s="287"/>
      <c r="C52" s="281"/>
      <c r="D52" s="282"/>
      <c r="E52" s="148" t="s">
        <v>24</v>
      </c>
      <c r="F52" s="226">
        <f>G52+H52+I52+J52+K52+L52+M52</f>
        <v>213628.74702068663</v>
      </c>
      <c r="G52" s="228">
        <f>688.67375-688.67375</f>
        <v>0</v>
      </c>
      <c r="H52" s="217">
        <f>537-537</f>
        <v>0</v>
      </c>
      <c r="I52" s="226">
        <f>20337.9152-19150.01683</f>
        <v>1187.898369999999</v>
      </c>
      <c r="J52" s="225">
        <f>(I46-J49)*103.4%</f>
        <v>21029.404316799999</v>
      </c>
      <c r="K52" s="225">
        <f>(J46-K49)*103.3%</f>
        <v>21723.374659254398</v>
      </c>
      <c r="L52" s="227">
        <f>K52*103%</f>
        <v>22375.075899032028</v>
      </c>
      <c r="M52" s="227">
        <f>N52+O52+P52+Q52+R52+S52</f>
        <v>147312.99377560022</v>
      </c>
      <c r="N52" s="75">
        <f>L52*102.9%</f>
        <v>23023.953100103961</v>
      </c>
      <c r="O52" s="76">
        <f>N52*102.7%</f>
        <v>23645.599833806773</v>
      </c>
      <c r="P52" s="76">
        <f t="shared" si="36"/>
        <v>24236.739829651939</v>
      </c>
      <c r="Q52" s="76">
        <f t="shared" si="36"/>
        <v>24842.658325393237</v>
      </c>
      <c r="R52" s="76">
        <f t="shared" si="36"/>
        <v>25463.724783528065</v>
      </c>
      <c r="S52" s="76">
        <f>R52*102.5%</f>
        <v>26100.317903116265</v>
      </c>
      <c r="T52" s="122"/>
      <c r="U52" s="147" t="s">
        <v>298</v>
      </c>
    </row>
    <row r="53" spans="2:21" s="147" customFormat="1" x14ac:dyDescent="0.25">
      <c r="B53" s="287"/>
      <c r="C53" s="281"/>
      <c r="D53" s="283" t="s">
        <v>88</v>
      </c>
      <c r="E53" s="77" t="s">
        <v>34</v>
      </c>
      <c r="F53" s="242">
        <v>560</v>
      </c>
      <c r="G53" s="239">
        <v>0</v>
      </c>
      <c r="H53" s="240">
        <v>0</v>
      </c>
      <c r="I53" s="229">
        <v>560</v>
      </c>
      <c r="J53" s="225">
        <v>0</v>
      </c>
      <c r="K53" s="225">
        <v>0</v>
      </c>
      <c r="L53" s="227">
        <v>0</v>
      </c>
      <c r="M53" s="227">
        <v>0</v>
      </c>
      <c r="N53" s="75"/>
      <c r="O53" s="76"/>
      <c r="P53" s="76"/>
      <c r="Q53" s="76"/>
      <c r="R53" s="76"/>
      <c r="S53" s="76"/>
      <c r="T53" s="122"/>
    </row>
    <row r="54" spans="2:21" s="147" customFormat="1" x14ac:dyDescent="0.25">
      <c r="B54" s="287"/>
      <c r="C54" s="281"/>
      <c r="D54" s="284"/>
      <c r="E54" s="78" t="s">
        <v>6</v>
      </c>
      <c r="F54" s="241">
        <v>0</v>
      </c>
      <c r="G54" s="239">
        <v>0</v>
      </c>
      <c r="H54" s="240">
        <v>0</v>
      </c>
      <c r="I54" s="226">
        <v>0</v>
      </c>
      <c r="J54" s="225">
        <v>0</v>
      </c>
      <c r="K54" s="225">
        <v>0</v>
      </c>
      <c r="L54" s="227">
        <v>0</v>
      </c>
      <c r="M54" s="227">
        <v>0</v>
      </c>
      <c r="N54" s="75"/>
      <c r="O54" s="76"/>
      <c r="P54" s="76"/>
      <c r="Q54" s="76"/>
      <c r="R54" s="76"/>
      <c r="S54" s="76"/>
      <c r="T54" s="122"/>
    </row>
    <row r="55" spans="2:21" s="147" customFormat="1" x14ac:dyDescent="0.25">
      <c r="B55" s="287"/>
      <c r="C55" s="281"/>
      <c r="D55" s="284"/>
      <c r="E55" s="78" t="s">
        <v>7</v>
      </c>
      <c r="F55" s="241">
        <v>0</v>
      </c>
      <c r="G55" s="239">
        <v>0</v>
      </c>
      <c r="H55" s="240">
        <v>0</v>
      </c>
      <c r="I55" s="226">
        <v>0</v>
      </c>
      <c r="J55" s="225">
        <v>0</v>
      </c>
      <c r="K55" s="225">
        <v>0</v>
      </c>
      <c r="L55" s="227">
        <v>0</v>
      </c>
      <c r="M55" s="227">
        <v>0</v>
      </c>
      <c r="N55" s="75"/>
      <c r="O55" s="76"/>
      <c r="P55" s="76"/>
      <c r="Q55" s="76"/>
      <c r="R55" s="76"/>
      <c r="S55" s="76"/>
      <c r="T55" s="122"/>
    </row>
    <row r="56" spans="2:21" s="147" customFormat="1" x14ac:dyDescent="0.25">
      <c r="B56" s="287"/>
      <c r="C56" s="281"/>
      <c r="D56" s="284"/>
      <c r="E56" s="78" t="s">
        <v>8</v>
      </c>
      <c r="F56" s="241">
        <v>560</v>
      </c>
      <c r="G56" s="239">
        <v>0</v>
      </c>
      <c r="H56" s="240">
        <v>0</v>
      </c>
      <c r="I56" s="226">
        <v>560</v>
      </c>
      <c r="J56" s="225">
        <v>0</v>
      </c>
      <c r="K56" s="225">
        <v>0</v>
      </c>
      <c r="L56" s="227">
        <v>0</v>
      </c>
      <c r="M56" s="227">
        <v>0</v>
      </c>
      <c r="N56" s="75"/>
      <c r="O56" s="76"/>
      <c r="P56" s="76"/>
      <c r="Q56" s="76"/>
      <c r="R56" s="76"/>
      <c r="S56" s="76"/>
      <c r="T56" s="122"/>
    </row>
    <row r="57" spans="2:21" s="147" customFormat="1" ht="31.5" x14ac:dyDescent="0.25">
      <c r="B57" s="287"/>
      <c r="C57" s="281"/>
      <c r="D57" s="284"/>
      <c r="E57" s="78" t="s">
        <v>9</v>
      </c>
      <c r="F57" s="241">
        <v>0</v>
      </c>
      <c r="G57" s="239">
        <v>0</v>
      </c>
      <c r="H57" s="240">
        <v>0</v>
      </c>
      <c r="I57" s="226">
        <v>0</v>
      </c>
      <c r="J57" s="225">
        <v>0</v>
      </c>
      <c r="K57" s="225">
        <v>0</v>
      </c>
      <c r="L57" s="227">
        <v>0</v>
      </c>
      <c r="M57" s="227">
        <v>0</v>
      </c>
      <c r="N57" s="75"/>
      <c r="O57" s="76"/>
      <c r="P57" s="76"/>
      <c r="Q57" s="76"/>
      <c r="R57" s="76"/>
      <c r="S57" s="76"/>
      <c r="T57" s="122"/>
    </row>
    <row r="58" spans="2:21" s="147" customFormat="1" x14ac:dyDescent="0.25">
      <c r="B58" s="287"/>
      <c r="C58" s="281"/>
      <c r="D58" s="284"/>
      <c r="E58" s="78" t="s">
        <v>262</v>
      </c>
      <c r="F58" s="241">
        <v>0</v>
      </c>
      <c r="G58" s="239">
        <v>0</v>
      </c>
      <c r="H58" s="240">
        <v>0</v>
      </c>
      <c r="I58" s="226">
        <v>0</v>
      </c>
      <c r="J58" s="225">
        <v>0</v>
      </c>
      <c r="K58" s="225">
        <v>0</v>
      </c>
      <c r="L58" s="227">
        <v>0</v>
      </c>
      <c r="M58" s="227">
        <v>0</v>
      </c>
      <c r="N58" s="75"/>
      <c r="O58" s="76"/>
      <c r="P58" s="76"/>
      <c r="Q58" s="76"/>
      <c r="R58" s="76"/>
      <c r="S58" s="76"/>
      <c r="T58" s="122"/>
    </row>
    <row r="59" spans="2:21" s="147" customFormat="1" ht="22.5" customHeight="1" x14ac:dyDescent="0.25">
      <c r="B59" s="288"/>
      <c r="C59" s="282"/>
      <c r="D59" s="285"/>
      <c r="E59" s="148" t="s">
        <v>24</v>
      </c>
      <c r="F59" s="241">
        <v>0</v>
      </c>
      <c r="G59" s="239">
        <v>0</v>
      </c>
      <c r="H59" s="240">
        <v>0</v>
      </c>
      <c r="I59" s="226">
        <v>0</v>
      </c>
      <c r="J59" s="225">
        <v>0</v>
      </c>
      <c r="K59" s="225">
        <v>0</v>
      </c>
      <c r="L59" s="227">
        <v>0</v>
      </c>
      <c r="M59" s="227">
        <v>0</v>
      </c>
      <c r="N59" s="75"/>
      <c r="O59" s="76"/>
      <c r="P59" s="76"/>
      <c r="Q59" s="76"/>
      <c r="R59" s="76"/>
      <c r="S59" s="76"/>
      <c r="T59" s="122"/>
    </row>
    <row r="60" spans="2:21" ht="18.75" customHeight="1" x14ac:dyDescent="0.2">
      <c r="B60" s="290" t="s">
        <v>12</v>
      </c>
      <c r="C60" s="289" t="s">
        <v>213</v>
      </c>
      <c r="D60" s="282" t="s">
        <v>16</v>
      </c>
      <c r="E60" s="157" t="s">
        <v>34</v>
      </c>
      <c r="F60" s="242">
        <f t="shared" ref="F60:S60" si="37">F61+F62+F63+F64+F66</f>
        <v>27237.514663497637</v>
      </c>
      <c r="G60" s="243">
        <f t="shared" si="37"/>
        <v>1449.2996499999999</v>
      </c>
      <c r="H60" s="244">
        <f t="shared" si="37"/>
        <v>1082.8203099999998</v>
      </c>
      <c r="I60" s="229">
        <f t="shared" si="37"/>
        <v>7833.7999999999993</v>
      </c>
      <c r="J60" s="234">
        <f t="shared" si="37"/>
        <v>4609.625</v>
      </c>
      <c r="K60" s="234">
        <f t="shared" si="37"/>
        <v>5475.75</v>
      </c>
      <c r="L60" s="234">
        <f t="shared" si="37"/>
        <v>894.83121000000006</v>
      </c>
      <c r="M60" s="234">
        <f t="shared" si="37"/>
        <v>5891.3884934976368</v>
      </c>
      <c r="N60" s="74">
        <f t="shared" si="37"/>
        <v>920.78131509000013</v>
      </c>
      <c r="O60" s="73">
        <f t="shared" si="37"/>
        <v>945.64241059743028</v>
      </c>
      <c r="P60" s="73">
        <f t="shared" si="37"/>
        <v>969.2834708623659</v>
      </c>
      <c r="Q60" s="73">
        <f t="shared" si="37"/>
        <v>993.51555763392491</v>
      </c>
      <c r="R60" s="73">
        <f t="shared" si="37"/>
        <v>1018.353446574773</v>
      </c>
      <c r="S60" s="73">
        <f t="shared" si="37"/>
        <v>1043.8122927391421</v>
      </c>
      <c r="T60" s="121"/>
    </row>
    <row r="61" spans="2:21" x14ac:dyDescent="0.25">
      <c r="B61" s="290"/>
      <c r="C61" s="289"/>
      <c r="D61" s="289"/>
      <c r="E61" s="79" t="s">
        <v>6</v>
      </c>
      <c r="F61" s="226">
        <f t="shared" ref="F61:F66" si="38">G61+H61+I61+J61+K61+L61+M61</f>
        <v>0</v>
      </c>
      <c r="G61" s="228">
        <v>0</v>
      </c>
      <c r="H61" s="217">
        <v>0</v>
      </c>
      <c r="I61" s="229">
        <v>0</v>
      </c>
      <c r="J61" s="227">
        <v>0</v>
      </c>
      <c r="K61" s="227">
        <v>0</v>
      </c>
      <c r="L61" s="227">
        <v>0</v>
      </c>
      <c r="M61" s="227">
        <v>0</v>
      </c>
      <c r="N61" s="75">
        <f>L61*103%</f>
        <v>0</v>
      </c>
      <c r="O61" s="76">
        <f>N61*102.7%</f>
        <v>0</v>
      </c>
      <c r="P61" s="76">
        <f t="shared" ref="P61:S62" si="39">O61*102.5%</f>
        <v>0</v>
      </c>
      <c r="Q61" s="76">
        <f t="shared" si="39"/>
        <v>0</v>
      </c>
      <c r="R61" s="76">
        <f t="shared" si="39"/>
        <v>0</v>
      </c>
      <c r="S61" s="76">
        <f t="shared" si="39"/>
        <v>0</v>
      </c>
      <c r="T61" s="122"/>
    </row>
    <row r="62" spans="2:21" x14ac:dyDescent="0.25">
      <c r="B62" s="290"/>
      <c r="C62" s="289"/>
      <c r="D62" s="289"/>
      <c r="E62" s="79" t="s">
        <v>7</v>
      </c>
      <c r="F62" s="226">
        <f t="shared" si="38"/>
        <v>1418.6999999999998</v>
      </c>
      <c r="G62" s="228">
        <v>0</v>
      </c>
      <c r="H62" s="217">
        <v>0</v>
      </c>
      <c r="I62" s="229">
        <v>934.4</v>
      </c>
      <c r="J62" s="227">
        <v>103.7</v>
      </c>
      <c r="K62" s="227">
        <v>380.6</v>
      </c>
      <c r="L62" s="227">
        <v>0</v>
      </c>
      <c r="M62" s="227">
        <v>0</v>
      </c>
      <c r="N62" s="75">
        <f>L62*103%</f>
        <v>0</v>
      </c>
      <c r="O62" s="76">
        <f>N62*102.7%</f>
        <v>0</v>
      </c>
      <c r="P62" s="76">
        <f t="shared" si="39"/>
        <v>0</v>
      </c>
      <c r="Q62" s="76">
        <f t="shared" si="39"/>
        <v>0</v>
      </c>
      <c r="R62" s="76">
        <f t="shared" si="39"/>
        <v>0</v>
      </c>
      <c r="S62" s="76">
        <f t="shared" si="39"/>
        <v>0</v>
      </c>
      <c r="T62" s="122"/>
    </row>
    <row r="63" spans="2:21" x14ac:dyDescent="0.25">
      <c r="B63" s="290"/>
      <c r="C63" s="289"/>
      <c r="D63" s="289"/>
      <c r="E63" s="79" t="s">
        <v>8</v>
      </c>
      <c r="F63" s="226">
        <f t="shared" si="38"/>
        <v>6963.5949599999994</v>
      </c>
      <c r="G63" s="228">
        <v>1449.2996499999999</v>
      </c>
      <c r="H63" s="217">
        <f>779.868+488.80431-185.852</f>
        <v>1082.8203099999998</v>
      </c>
      <c r="I63" s="217">
        <f>3810.4+500</f>
        <v>4310.3999999999996</v>
      </c>
      <c r="J63" s="225">
        <v>25.925000000000001</v>
      </c>
      <c r="K63" s="227">
        <v>95.15</v>
      </c>
      <c r="L63" s="227">
        <v>0</v>
      </c>
      <c r="M63" s="227">
        <f>N63+O63+P63+Q63+R63+S63</f>
        <v>0</v>
      </c>
      <c r="N63" s="75">
        <f>L63</f>
        <v>0</v>
      </c>
      <c r="O63" s="76">
        <f>N63</f>
        <v>0</v>
      </c>
      <c r="P63" s="76">
        <f>O63</f>
        <v>0</v>
      </c>
      <c r="Q63" s="76">
        <f>P63</f>
        <v>0</v>
      </c>
      <c r="R63" s="76">
        <f>Q63</f>
        <v>0</v>
      </c>
      <c r="S63" s="76">
        <f>R63</f>
        <v>0</v>
      </c>
      <c r="T63" s="122"/>
    </row>
    <row r="64" spans="2:21" ht="31.5" x14ac:dyDescent="0.25">
      <c r="B64" s="290"/>
      <c r="C64" s="289"/>
      <c r="D64" s="289"/>
      <c r="E64" s="79" t="s">
        <v>9</v>
      </c>
      <c r="F64" s="226">
        <f t="shared" si="38"/>
        <v>0</v>
      </c>
      <c r="G64" s="228">
        <v>0</v>
      </c>
      <c r="H64" s="217">
        <v>0</v>
      </c>
      <c r="I64" s="229">
        <v>0</v>
      </c>
      <c r="J64" s="227">
        <v>0</v>
      </c>
      <c r="K64" s="227">
        <v>0</v>
      </c>
      <c r="L64" s="227">
        <v>0</v>
      </c>
      <c r="M64" s="227">
        <v>0</v>
      </c>
      <c r="N64" s="75">
        <f>L64*102.9%</f>
        <v>0</v>
      </c>
      <c r="O64" s="76">
        <f>N64*102.7%</f>
        <v>0</v>
      </c>
      <c r="P64" s="76">
        <f t="shared" ref="P64:S66" si="40">O64*102.5%</f>
        <v>0</v>
      </c>
      <c r="Q64" s="76">
        <f t="shared" si="40"/>
        <v>0</v>
      </c>
      <c r="R64" s="76">
        <f t="shared" si="40"/>
        <v>0</v>
      </c>
      <c r="S64" s="76">
        <f t="shared" si="40"/>
        <v>0</v>
      </c>
      <c r="T64" s="122"/>
    </row>
    <row r="65" spans="1:20" x14ac:dyDescent="0.25">
      <c r="B65" s="290"/>
      <c r="C65" s="289"/>
      <c r="D65" s="289"/>
      <c r="E65" s="78" t="s">
        <v>262</v>
      </c>
      <c r="F65" s="226">
        <f t="shared" si="38"/>
        <v>0</v>
      </c>
      <c r="G65" s="228">
        <v>0</v>
      </c>
      <c r="H65" s="217">
        <v>0</v>
      </c>
      <c r="I65" s="229">
        <v>0</v>
      </c>
      <c r="J65" s="227">
        <v>0</v>
      </c>
      <c r="K65" s="227">
        <v>0</v>
      </c>
      <c r="L65" s="227">
        <v>0</v>
      </c>
      <c r="M65" s="227">
        <v>0</v>
      </c>
      <c r="N65" s="75">
        <f>L65*102.9%</f>
        <v>0</v>
      </c>
      <c r="O65" s="76">
        <f>N65*102.7%</f>
        <v>0</v>
      </c>
      <c r="P65" s="76">
        <f t="shared" si="40"/>
        <v>0</v>
      </c>
      <c r="Q65" s="76">
        <f t="shared" si="40"/>
        <v>0</v>
      </c>
      <c r="R65" s="76">
        <f t="shared" si="40"/>
        <v>0</v>
      </c>
      <c r="S65" s="76">
        <f t="shared" si="40"/>
        <v>0</v>
      </c>
      <c r="T65" s="122"/>
    </row>
    <row r="66" spans="1:20" s="147" customFormat="1" x14ac:dyDescent="0.25">
      <c r="A66" s="57"/>
      <c r="B66" s="290"/>
      <c r="C66" s="289"/>
      <c r="D66" s="289"/>
      <c r="E66" s="149" t="s">
        <v>24</v>
      </c>
      <c r="F66" s="226">
        <f t="shared" si="38"/>
        <v>18855.219703497638</v>
      </c>
      <c r="G66" s="228">
        <f>4137.5-4137.5</f>
        <v>0</v>
      </c>
      <c r="H66" s="217">
        <v>0</v>
      </c>
      <c r="I66" s="226">
        <f>3089-500</f>
        <v>2589</v>
      </c>
      <c r="J66" s="225">
        <f>4480</f>
        <v>4480</v>
      </c>
      <c r="K66" s="225">
        <v>5000</v>
      </c>
      <c r="L66" s="227">
        <v>894.83121000000006</v>
      </c>
      <c r="M66" s="227">
        <f>N66+O66+P66+Q66+R66+S66</f>
        <v>5891.3884934976368</v>
      </c>
      <c r="N66" s="75">
        <f>L66*102.9%</f>
        <v>920.78131509000013</v>
      </c>
      <c r="O66" s="76">
        <f>N66*102.7%</f>
        <v>945.64241059743028</v>
      </c>
      <c r="P66" s="76">
        <f t="shared" si="40"/>
        <v>969.2834708623659</v>
      </c>
      <c r="Q66" s="76">
        <f t="shared" si="40"/>
        <v>993.51555763392491</v>
      </c>
      <c r="R66" s="76">
        <f t="shared" si="40"/>
        <v>1018.353446574773</v>
      </c>
      <c r="S66" s="76">
        <f>R66*102.5%+0.00001</f>
        <v>1043.8122927391421</v>
      </c>
      <c r="T66" s="122"/>
    </row>
    <row r="67" spans="1:20" ht="21" customHeight="1" x14ac:dyDescent="0.2">
      <c r="B67" s="290" t="s">
        <v>85</v>
      </c>
      <c r="C67" s="290"/>
      <c r="D67" s="290"/>
      <c r="E67" s="77" t="s">
        <v>34</v>
      </c>
      <c r="F67" s="229">
        <f>F68+F69+F70+F71+F73</f>
        <v>2796162.9872524301</v>
      </c>
      <c r="G67" s="233">
        <f>G68+G69+G70+G71+G73</f>
        <v>235609.30295000001</v>
      </c>
      <c r="H67" s="222">
        <f t="shared" ref="H67" si="41">H68+H69+H70+H71+H73</f>
        <v>163868.21457000001</v>
      </c>
      <c r="I67" s="229">
        <f t="shared" ref="I67:S67" si="42">I68+I69+I70+I71+I73</f>
        <v>374512.16648000001</v>
      </c>
      <c r="J67" s="229">
        <f t="shared" si="42"/>
        <v>398221.51665080001</v>
      </c>
      <c r="K67" s="229">
        <f t="shared" si="42"/>
        <v>200005.7882795464</v>
      </c>
      <c r="L67" s="229">
        <f t="shared" si="42"/>
        <v>192469.49036363274</v>
      </c>
      <c r="M67" s="229">
        <f t="shared" si="42"/>
        <v>1231476.5079584511</v>
      </c>
      <c r="N67" s="74">
        <f t="shared" si="42"/>
        <v>196277.52855564811</v>
      </c>
      <c r="O67" s="80">
        <f t="shared" si="42"/>
        <v>199925.76045526064</v>
      </c>
      <c r="P67" s="80">
        <f t="shared" si="42"/>
        <v>203394.95875239215</v>
      </c>
      <c r="Q67" s="80">
        <f t="shared" si="42"/>
        <v>206950.88700695196</v>
      </c>
      <c r="R67" s="80">
        <f t="shared" si="42"/>
        <v>210595.71346787573</v>
      </c>
      <c r="S67" s="80">
        <f t="shared" si="42"/>
        <v>214331.65972032258</v>
      </c>
      <c r="T67" s="84"/>
    </row>
    <row r="68" spans="1:20" x14ac:dyDescent="0.2">
      <c r="B68" s="290"/>
      <c r="C68" s="290"/>
      <c r="D68" s="290"/>
      <c r="E68" s="78" t="s">
        <v>6</v>
      </c>
      <c r="F68" s="226">
        <f>G68+H68+I68+J68+K68+L68+M68</f>
        <v>0</v>
      </c>
      <c r="G68" s="228">
        <f>G12+G19+G26+G33+G40+G61+G47+G54</f>
        <v>0</v>
      </c>
      <c r="H68" s="228">
        <f t="shared" ref="H68:M68" si="43">H12+H19+H26+H33+H40+H61+H47+H54</f>
        <v>0</v>
      </c>
      <c r="I68" s="228">
        <f t="shared" si="43"/>
        <v>0</v>
      </c>
      <c r="J68" s="228">
        <f t="shared" si="43"/>
        <v>0</v>
      </c>
      <c r="K68" s="228">
        <f t="shared" si="43"/>
        <v>0</v>
      </c>
      <c r="L68" s="228">
        <f t="shared" si="43"/>
        <v>0</v>
      </c>
      <c r="M68" s="228">
        <f t="shared" si="43"/>
        <v>0</v>
      </c>
      <c r="N68" s="68">
        <f>N12+N19+N26+N33+N40+N61+N47+N54</f>
        <v>0</v>
      </c>
      <c r="O68" s="68">
        <f t="shared" ref="O68:S68" si="44">O12+O19+O26+O33+O40+O61+O47+O54</f>
        <v>0</v>
      </c>
      <c r="P68" s="68">
        <f t="shared" si="44"/>
        <v>0</v>
      </c>
      <c r="Q68" s="68">
        <f t="shared" si="44"/>
        <v>0</v>
      </c>
      <c r="R68" s="68">
        <f t="shared" si="44"/>
        <v>0</v>
      </c>
      <c r="S68" s="68">
        <f t="shared" si="44"/>
        <v>0</v>
      </c>
      <c r="T68" s="123"/>
    </row>
    <row r="69" spans="1:20" x14ac:dyDescent="0.2">
      <c r="B69" s="290"/>
      <c r="C69" s="290"/>
      <c r="D69" s="290"/>
      <c r="E69" s="78" t="s">
        <v>7</v>
      </c>
      <c r="F69" s="226">
        <f t="shared" ref="F69:F72" si="45">G69+H69+I69+J69+K69+L69+M69</f>
        <v>1758.7000000000003</v>
      </c>
      <c r="G69" s="228">
        <f t="shared" ref="G69:N73" si="46">G13+G20+G27+G34+G41+G62+G48+G55</f>
        <v>340</v>
      </c>
      <c r="H69" s="228">
        <f t="shared" si="46"/>
        <v>0</v>
      </c>
      <c r="I69" s="228">
        <f t="shared" si="46"/>
        <v>934.4</v>
      </c>
      <c r="J69" s="228">
        <f t="shared" si="46"/>
        <v>103.7</v>
      </c>
      <c r="K69" s="228">
        <f t="shared" si="46"/>
        <v>380.6</v>
      </c>
      <c r="L69" s="228">
        <f t="shared" si="46"/>
        <v>0</v>
      </c>
      <c r="M69" s="228">
        <f t="shared" si="46"/>
        <v>0</v>
      </c>
      <c r="N69" s="68">
        <f t="shared" si="46"/>
        <v>0</v>
      </c>
      <c r="O69" s="68">
        <f t="shared" ref="O69:S69" si="47">O13+O20+O27+O34+O41+O62+O48+O55</f>
        <v>0</v>
      </c>
      <c r="P69" s="68">
        <f t="shared" si="47"/>
        <v>0</v>
      </c>
      <c r="Q69" s="68">
        <f t="shared" si="47"/>
        <v>0</v>
      </c>
      <c r="R69" s="68">
        <f t="shared" si="47"/>
        <v>0</v>
      </c>
      <c r="S69" s="68">
        <f t="shared" si="47"/>
        <v>0</v>
      </c>
      <c r="T69" s="123"/>
    </row>
    <row r="70" spans="1:20" x14ac:dyDescent="0.2">
      <c r="B70" s="290"/>
      <c r="C70" s="290"/>
      <c r="D70" s="290"/>
      <c r="E70" s="78" t="s">
        <v>8</v>
      </c>
      <c r="F70" s="226">
        <f>G70+H70+I70+J70+K70+L70+M70</f>
        <v>1117275.8420800001</v>
      </c>
      <c r="G70" s="228">
        <f t="shared" si="46"/>
        <v>235269.30295000001</v>
      </c>
      <c r="H70" s="228">
        <f t="shared" si="46"/>
        <v>163868.21457000001</v>
      </c>
      <c r="I70" s="228">
        <f t="shared" si="46"/>
        <v>153551.96294999999</v>
      </c>
      <c r="J70" s="228">
        <f t="shared" si="46"/>
        <v>68346.74381</v>
      </c>
      <c r="K70" s="228">
        <f t="shared" si="46"/>
        <v>68134.817810000008</v>
      </c>
      <c r="L70" s="228">
        <f t="shared" si="46"/>
        <v>61157.828569999998</v>
      </c>
      <c r="M70" s="228">
        <f t="shared" si="46"/>
        <v>366946.97142000002</v>
      </c>
      <c r="N70" s="68">
        <f t="shared" si="46"/>
        <v>61157.828569999998</v>
      </c>
      <c r="O70" s="68">
        <f t="shared" ref="O70:S70" si="48">O14+O21+O28+O35+O42+O63+O49+O56</f>
        <v>61157.828569999998</v>
      </c>
      <c r="P70" s="68">
        <f t="shared" si="48"/>
        <v>61157.828569999998</v>
      </c>
      <c r="Q70" s="68">
        <f t="shared" si="48"/>
        <v>61157.828569999998</v>
      </c>
      <c r="R70" s="68">
        <f t="shared" si="48"/>
        <v>61157.828569999998</v>
      </c>
      <c r="S70" s="68">
        <f t="shared" si="48"/>
        <v>61157.828569999998</v>
      </c>
      <c r="T70" s="123"/>
    </row>
    <row r="71" spans="1:20" ht="31.5" x14ac:dyDescent="0.2">
      <c r="B71" s="290"/>
      <c r="C71" s="290"/>
      <c r="D71" s="290"/>
      <c r="E71" s="78" t="s">
        <v>9</v>
      </c>
      <c r="F71" s="226">
        <f t="shared" si="45"/>
        <v>0</v>
      </c>
      <c r="G71" s="228">
        <f t="shared" si="46"/>
        <v>0</v>
      </c>
      <c r="H71" s="228">
        <f t="shared" si="46"/>
        <v>0</v>
      </c>
      <c r="I71" s="228">
        <f t="shared" si="46"/>
        <v>0</v>
      </c>
      <c r="J71" s="228">
        <f t="shared" si="46"/>
        <v>0</v>
      </c>
      <c r="K71" s="228">
        <f t="shared" si="46"/>
        <v>0</v>
      </c>
      <c r="L71" s="228">
        <f t="shared" si="46"/>
        <v>0</v>
      </c>
      <c r="M71" s="228">
        <f t="shared" si="46"/>
        <v>0</v>
      </c>
      <c r="N71" s="68">
        <f t="shared" si="46"/>
        <v>0</v>
      </c>
      <c r="O71" s="68">
        <f t="shared" ref="O71:S71" si="49">O15+O22+O29+O36+O43+O64+O50+O57</f>
        <v>0</v>
      </c>
      <c r="P71" s="68">
        <f t="shared" si="49"/>
        <v>0</v>
      </c>
      <c r="Q71" s="68">
        <f t="shared" si="49"/>
        <v>0</v>
      </c>
      <c r="R71" s="68">
        <f t="shared" si="49"/>
        <v>0</v>
      </c>
      <c r="S71" s="68">
        <f t="shared" si="49"/>
        <v>0</v>
      </c>
      <c r="T71" s="123"/>
    </row>
    <row r="72" spans="1:20" x14ac:dyDescent="0.2">
      <c r="B72" s="290"/>
      <c r="C72" s="290"/>
      <c r="D72" s="290"/>
      <c r="E72" s="78" t="s">
        <v>262</v>
      </c>
      <c r="F72" s="226">
        <f t="shared" si="45"/>
        <v>0</v>
      </c>
      <c r="G72" s="228">
        <f t="shared" si="46"/>
        <v>0</v>
      </c>
      <c r="H72" s="228">
        <f t="shared" si="46"/>
        <v>0</v>
      </c>
      <c r="I72" s="228">
        <f t="shared" si="46"/>
        <v>0</v>
      </c>
      <c r="J72" s="228">
        <f t="shared" si="46"/>
        <v>0</v>
      </c>
      <c r="K72" s="228">
        <f t="shared" si="46"/>
        <v>0</v>
      </c>
      <c r="L72" s="228">
        <f t="shared" si="46"/>
        <v>0</v>
      </c>
      <c r="M72" s="228">
        <f t="shared" si="46"/>
        <v>0</v>
      </c>
      <c r="N72" s="68">
        <f t="shared" si="46"/>
        <v>0</v>
      </c>
      <c r="O72" s="68">
        <f t="shared" ref="O72:S72" si="50">O16+O23+O30+O37+O44+O65+O51+O58</f>
        <v>0</v>
      </c>
      <c r="P72" s="68">
        <f t="shared" si="50"/>
        <v>0</v>
      </c>
      <c r="Q72" s="68">
        <f t="shared" si="50"/>
        <v>0</v>
      </c>
      <c r="R72" s="68">
        <f t="shared" si="50"/>
        <v>0</v>
      </c>
      <c r="S72" s="68">
        <f t="shared" si="50"/>
        <v>0</v>
      </c>
      <c r="T72" s="123"/>
    </row>
    <row r="73" spans="1:20" s="57" customFormat="1" x14ac:dyDescent="0.2">
      <c r="A73" s="38"/>
      <c r="B73" s="290"/>
      <c r="C73" s="290"/>
      <c r="D73" s="290"/>
      <c r="E73" s="79" t="s">
        <v>24</v>
      </c>
      <c r="F73" s="226">
        <f>G73+H73+I73+J73+K73+L73+M73</f>
        <v>1677128.4451724302</v>
      </c>
      <c r="G73" s="228">
        <f t="shared" si="46"/>
        <v>0</v>
      </c>
      <c r="H73" s="228">
        <f t="shared" si="46"/>
        <v>0</v>
      </c>
      <c r="I73" s="228">
        <f t="shared" si="46"/>
        <v>220025.80353000003</v>
      </c>
      <c r="J73" s="228">
        <f t="shared" si="46"/>
        <v>329771.07284079998</v>
      </c>
      <c r="K73" s="228">
        <f t="shared" si="46"/>
        <v>131490.37046954638</v>
      </c>
      <c r="L73" s="228">
        <f t="shared" si="46"/>
        <v>131311.66179363275</v>
      </c>
      <c r="M73" s="228">
        <f t="shared" si="46"/>
        <v>864529.5365384511</v>
      </c>
      <c r="N73" s="68">
        <f>N17+N24+N31+N38+N45+N66+N52+N59</f>
        <v>135119.69998564813</v>
      </c>
      <c r="O73" s="68">
        <f t="shared" ref="O73:S73" si="51">O17+O24+O31+O38+O45+O66+O52+O59</f>
        <v>138767.93188526062</v>
      </c>
      <c r="P73" s="68">
        <f t="shared" si="51"/>
        <v>142237.13018239214</v>
      </c>
      <c r="Q73" s="68">
        <f t="shared" si="51"/>
        <v>145793.05843695195</v>
      </c>
      <c r="R73" s="68">
        <f t="shared" si="51"/>
        <v>149437.88489787572</v>
      </c>
      <c r="S73" s="68">
        <f t="shared" si="51"/>
        <v>153173.83115032257</v>
      </c>
      <c r="T73" s="123"/>
    </row>
    <row r="74" spans="1:20" ht="15.75" customHeight="1" x14ac:dyDescent="0.25">
      <c r="B74" s="304" t="s">
        <v>249</v>
      </c>
      <c r="C74" s="304"/>
      <c r="D74" s="304"/>
      <c r="E74" s="304"/>
      <c r="F74" s="304"/>
      <c r="G74" s="304"/>
      <c r="H74" s="304"/>
      <c r="I74" s="304"/>
      <c r="J74" s="304"/>
      <c r="K74" s="304"/>
      <c r="L74" s="304"/>
      <c r="M74" s="304"/>
      <c r="N74" s="153"/>
      <c r="O74" s="64"/>
      <c r="P74" s="64"/>
      <c r="Q74" s="64"/>
      <c r="R74" s="64"/>
      <c r="S74" s="64"/>
      <c r="T74" s="64"/>
    </row>
    <row r="75" spans="1:20" ht="23.25" customHeight="1" x14ac:dyDescent="0.2">
      <c r="B75" s="290" t="s">
        <v>13</v>
      </c>
      <c r="C75" s="289" t="s">
        <v>215</v>
      </c>
      <c r="D75" s="289" t="s">
        <v>16</v>
      </c>
      <c r="E75" s="77" t="s">
        <v>34</v>
      </c>
      <c r="F75" s="229">
        <f t="shared" ref="F75:S75" si="52">F76+F77+F78+F79+F81</f>
        <v>129853.78175974003</v>
      </c>
      <c r="G75" s="233">
        <f t="shared" si="52"/>
        <v>1642.14624</v>
      </c>
      <c r="H75" s="222">
        <f t="shared" si="52"/>
        <v>1339.4343899999999</v>
      </c>
      <c r="I75" s="229">
        <f t="shared" si="52"/>
        <v>12323.24</v>
      </c>
      <c r="J75" s="234">
        <f t="shared" si="52"/>
        <v>12404.70196</v>
      </c>
      <c r="K75" s="234">
        <f t="shared" si="52"/>
        <v>12491.73622468</v>
      </c>
      <c r="L75" s="234">
        <f t="shared" si="52"/>
        <v>12573.4693114204</v>
      </c>
      <c r="M75" s="234">
        <f t="shared" si="52"/>
        <v>77079.053633639633</v>
      </c>
      <c r="N75" s="74">
        <f t="shared" si="52"/>
        <v>12654.848221451593</v>
      </c>
      <c r="O75" s="73">
        <f t="shared" si="52"/>
        <v>12732.812023430786</v>
      </c>
      <c r="P75" s="73">
        <f t="shared" si="52"/>
        <v>12806.949824016556</v>
      </c>
      <c r="Q75" s="73">
        <f t="shared" si="52"/>
        <v>12882.941069616969</v>
      </c>
      <c r="R75" s="73">
        <f t="shared" si="52"/>
        <v>12960.832096357393</v>
      </c>
      <c r="S75" s="73">
        <f t="shared" si="52"/>
        <v>13040.670398766328</v>
      </c>
      <c r="T75" s="121"/>
    </row>
    <row r="76" spans="1:20" x14ac:dyDescent="0.25">
      <c r="B76" s="290"/>
      <c r="C76" s="289"/>
      <c r="D76" s="289"/>
      <c r="E76" s="81" t="s">
        <v>6</v>
      </c>
      <c r="F76" s="245">
        <f t="shared" ref="F76:F81" si="53">G76+H76+I76+J76+K76+L76+M76</f>
        <v>0</v>
      </c>
      <c r="G76" s="216">
        <v>0</v>
      </c>
      <c r="H76" s="217">
        <v>0</v>
      </c>
      <c r="I76" s="246">
        <v>0</v>
      </c>
      <c r="J76" s="225">
        <v>0</v>
      </c>
      <c r="K76" s="225">
        <v>0</v>
      </c>
      <c r="L76" s="225">
        <v>0</v>
      </c>
      <c r="M76" s="227">
        <v>0</v>
      </c>
      <c r="N76" s="75">
        <f>L76*103%</f>
        <v>0</v>
      </c>
      <c r="O76" s="76">
        <f>N76*102.7%</f>
        <v>0</v>
      </c>
      <c r="P76" s="76">
        <f t="shared" ref="P76:S77" si="54">O76*102.5%</f>
        <v>0</v>
      </c>
      <c r="Q76" s="76">
        <f t="shared" si="54"/>
        <v>0</v>
      </c>
      <c r="R76" s="76">
        <f t="shared" si="54"/>
        <v>0</v>
      </c>
      <c r="S76" s="76">
        <f t="shared" si="54"/>
        <v>0</v>
      </c>
      <c r="T76" s="122"/>
    </row>
    <row r="77" spans="1:20" x14ac:dyDescent="0.25">
      <c r="B77" s="290"/>
      <c r="C77" s="289"/>
      <c r="D77" s="289"/>
      <c r="E77" s="81" t="s">
        <v>7</v>
      </c>
      <c r="F77" s="245">
        <f t="shared" si="53"/>
        <v>0</v>
      </c>
      <c r="G77" s="216">
        <v>0</v>
      </c>
      <c r="H77" s="217">
        <v>0</v>
      </c>
      <c r="I77" s="246">
        <v>0</v>
      </c>
      <c r="J77" s="225">
        <v>0</v>
      </c>
      <c r="K77" s="225">
        <v>0</v>
      </c>
      <c r="L77" s="225">
        <v>0</v>
      </c>
      <c r="M77" s="227">
        <v>0</v>
      </c>
      <c r="N77" s="75">
        <f>L77*103%</f>
        <v>0</v>
      </c>
      <c r="O77" s="76">
        <f>N77*102.7%</f>
        <v>0</v>
      </c>
      <c r="P77" s="76">
        <f t="shared" si="54"/>
        <v>0</v>
      </c>
      <c r="Q77" s="76">
        <f t="shared" si="54"/>
        <v>0</v>
      </c>
      <c r="R77" s="76">
        <f t="shared" si="54"/>
        <v>0</v>
      </c>
      <c r="S77" s="76">
        <f t="shared" si="54"/>
        <v>0</v>
      </c>
      <c r="T77" s="122"/>
    </row>
    <row r="78" spans="1:20" ht="21" customHeight="1" x14ac:dyDescent="0.25">
      <c r="A78" s="57"/>
      <c r="B78" s="290"/>
      <c r="C78" s="289"/>
      <c r="D78" s="289"/>
      <c r="E78" s="82" t="s">
        <v>8</v>
      </c>
      <c r="F78" s="245">
        <f t="shared" si="53"/>
        <v>96047.280629999994</v>
      </c>
      <c r="G78" s="216">
        <v>1642.14624</v>
      </c>
      <c r="H78" s="217">
        <f>1925.53839-586.104</f>
        <v>1339.4343899999999</v>
      </c>
      <c r="I78" s="217">
        <v>5000</v>
      </c>
      <c r="J78" s="217">
        <v>9927.2999999999993</v>
      </c>
      <c r="K78" s="217">
        <v>9767.2999999999993</v>
      </c>
      <c r="L78" s="217">
        <f>K78</f>
        <v>9767.2999999999993</v>
      </c>
      <c r="M78" s="227">
        <f>N78+O78+P78+Q78+R78+S78</f>
        <v>58603.8</v>
      </c>
      <c r="N78" s="75">
        <f>L78</f>
        <v>9767.2999999999993</v>
      </c>
      <c r="O78" s="76">
        <f>N78</f>
        <v>9767.2999999999993</v>
      </c>
      <c r="P78" s="76">
        <f>O78</f>
        <v>9767.2999999999993</v>
      </c>
      <c r="Q78" s="76">
        <f>P78</f>
        <v>9767.2999999999993</v>
      </c>
      <c r="R78" s="76">
        <f>Q78</f>
        <v>9767.2999999999993</v>
      </c>
      <c r="S78" s="76">
        <f>R78</f>
        <v>9767.2999999999993</v>
      </c>
      <c r="T78" s="122"/>
    </row>
    <row r="79" spans="1:20" ht="31.5" x14ac:dyDescent="0.25">
      <c r="B79" s="290"/>
      <c r="C79" s="289"/>
      <c r="D79" s="289"/>
      <c r="E79" s="81" t="s">
        <v>14</v>
      </c>
      <c r="F79" s="226">
        <f>G79+H79+I79+J79+K79+L79+M79</f>
        <v>0</v>
      </c>
      <c r="G79" s="216">
        <v>0</v>
      </c>
      <c r="H79" s="217">
        <v>0</v>
      </c>
      <c r="I79" s="246">
        <v>0</v>
      </c>
      <c r="J79" s="225">
        <v>0</v>
      </c>
      <c r="K79" s="225">
        <v>0</v>
      </c>
      <c r="L79" s="225">
        <v>0</v>
      </c>
      <c r="M79" s="227">
        <v>0</v>
      </c>
      <c r="N79" s="75">
        <f>L79*102.9%</f>
        <v>0</v>
      </c>
      <c r="O79" s="76">
        <f>N79*102.7%</f>
        <v>0</v>
      </c>
      <c r="P79" s="76">
        <f t="shared" ref="P79:S81" si="55">O79*102.5%</f>
        <v>0</v>
      </c>
      <c r="Q79" s="76">
        <f t="shared" si="55"/>
        <v>0</v>
      </c>
      <c r="R79" s="76">
        <f t="shared" si="55"/>
        <v>0</v>
      </c>
      <c r="S79" s="76">
        <f t="shared" si="55"/>
        <v>0</v>
      </c>
      <c r="T79" s="122"/>
    </row>
    <row r="80" spans="1:20" x14ac:dyDescent="0.25">
      <c r="B80" s="290"/>
      <c r="C80" s="289"/>
      <c r="D80" s="289"/>
      <c r="E80" s="78" t="s">
        <v>262</v>
      </c>
      <c r="F80" s="245">
        <f t="shared" si="53"/>
        <v>0</v>
      </c>
      <c r="G80" s="216">
        <v>0</v>
      </c>
      <c r="H80" s="217">
        <v>0</v>
      </c>
      <c r="I80" s="246">
        <v>0</v>
      </c>
      <c r="J80" s="225">
        <v>0</v>
      </c>
      <c r="K80" s="225">
        <v>0</v>
      </c>
      <c r="L80" s="225">
        <v>0</v>
      </c>
      <c r="M80" s="227">
        <v>0</v>
      </c>
      <c r="N80" s="75">
        <f>L80*102.9%</f>
        <v>0</v>
      </c>
      <c r="O80" s="76">
        <f>N80*102.7%</f>
        <v>0</v>
      </c>
      <c r="P80" s="76">
        <f t="shared" si="55"/>
        <v>0</v>
      </c>
      <c r="Q80" s="76">
        <f t="shared" si="55"/>
        <v>0</v>
      </c>
      <c r="R80" s="76">
        <f t="shared" si="55"/>
        <v>0</v>
      </c>
      <c r="S80" s="76">
        <f t="shared" si="55"/>
        <v>0</v>
      </c>
      <c r="T80" s="122"/>
    </row>
    <row r="81" spans="1:20" x14ac:dyDescent="0.25">
      <c r="A81" s="150"/>
      <c r="B81" s="290"/>
      <c r="C81" s="289"/>
      <c r="D81" s="289"/>
      <c r="E81" s="151" t="s">
        <v>24</v>
      </c>
      <c r="F81" s="245">
        <f t="shared" si="53"/>
        <v>33806.501129740027</v>
      </c>
      <c r="G81" s="216">
        <f>2803.6-2803.6</f>
        <v>0</v>
      </c>
      <c r="H81" s="217">
        <v>0</v>
      </c>
      <c r="I81" s="217">
        <v>7323.24</v>
      </c>
      <c r="J81" s="225">
        <f>(I75-J78)*103.4%</f>
        <v>2477.4019600000006</v>
      </c>
      <c r="K81" s="225">
        <f>(J75-K78)*103.3%</f>
        <v>2724.436224680001</v>
      </c>
      <c r="L81" s="225">
        <f>(K75-L78)*103%</f>
        <v>2806.1693114204013</v>
      </c>
      <c r="M81" s="227">
        <f>N81+O81+P81+Q81+R81+S81</f>
        <v>18475.253633639626</v>
      </c>
      <c r="N81" s="75">
        <f>L81*102.9%</f>
        <v>2887.5482214515932</v>
      </c>
      <c r="O81" s="76">
        <f>N81*102.7%</f>
        <v>2965.5120234307865</v>
      </c>
      <c r="P81" s="76">
        <f t="shared" si="55"/>
        <v>3039.6498240165561</v>
      </c>
      <c r="Q81" s="76">
        <f t="shared" si="55"/>
        <v>3115.6410696169696</v>
      </c>
      <c r="R81" s="76">
        <f t="shared" si="55"/>
        <v>3193.5320963573936</v>
      </c>
      <c r="S81" s="76">
        <f t="shared" si="55"/>
        <v>3273.370398766328</v>
      </c>
      <c r="T81" s="122"/>
    </row>
    <row r="82" spans="1:20" ht="18" customHeight="1" x14ac:dyDescent="0.2">
      <c r="B82" s="290"/>
      <c r="C82" s="289"/>
      <c r="D82" s="289" t="s">
        <v>100</v>
      </c>
      <c r="E82" s="77" t="s">
        <v>34</v>
      </c>
      <c r="F82" s="229">
        <f t="shared" ref="F82:S82" si="56">F83+F84+F85+F86+F88</f>
        <v>0</v>
      </c>
      <c r="G82" s="233">
        <f t="shared" si="56"/>
        <v>0</v>
      </c>
      <c r="H82" s="222">
        <f t="shared" si="56"/>
        <v>0</v>
      </c>
      <c r="I82" s="229">
        <f t="shared" si="56"/>
        <v>0</v>
      </c>
      <c r="J82" s="234">
        <f t="shared" si="56"/>
        <v>0</v>
      </c>
      <c r="K82" s="234">
        <f t="shared" si="56"/>
        <v>0</v>
      </c>
      <c r="L82" s="234">
        <f t="shared" si="56"/>
        <v>0</v>
      </c>
      <c r="M82" s="234">
        <f t="shared" si="56"/>
        <v>0</v>
      </c>
      <c r="N82" s="74">
        <f t="shared" si="56"/>
        <v>0</v>
      </c>
      <c r="O82" s="73">
        <f t="shared" si="56"/>
        <v>0</v>
      </c>
      <c r="P82" s="73">
        <f t="shared" si="56"/>
        <v>0</v>
      </c>
      <c r="Q82" s="73">
        <f t="shared" si="56"/>
        <v>0</v>
      </c>
      <c r="R82" s="73">
        <f t="shared" si="56"/>
        <v>0</v>
      </c>
      <c r="S82" s="73">
        <f t="shared" si="56"/>
        <v>0</v>
      </c>
      <c r="T82" s="121"/>
    </row>
    <row r="83" spans="1:20" x14ac:dyDescent="0.25">
      <c r="B83" s="290"/>
      <c r="C83" s="289"/>
      <c r="D83" s="289"/>
      <c r="E83" s="81" t="s">
        <v>6</v>
      </c>
      <c r="F83" s="245">
        <f t="shared" ref="F83:F88" si="57">G83+H83+I83+J83+K83+L83+M83</f>
        <v>0</v>
      </c>
      <c r="G83" s="228">
        <v>0</v>
      </c>
      <c r="H83" s="217">
        <v>0</v>
      </c>
      <c r="I83" s="247">
        <v>0</v>
      </c>
      <c r="J83" s="227">
        <v>0</v>
      </c>
      <c r="K83" s="227">
        <v>0</v>
      </c>
      <c r="L83" s="227">
        <f t="shared" ref="L83:L88" si="58">K83*103%</f>
        <v>0</v>
      </c>
      <c r="M83" s="227">
        <f t="shared" ref="M83:M88" si="59">N83+O83+P83+Q83+R83+S83</f>
        <v>0</v>
      </c>
      <c r="N83" s="75">
        <f>L83*103%</f>
        <v>0</v>
      </c>
      <c r="O83" s="76">
        <f t="shared" ref="O83:O88" si="60">N83*102.7%</f>
        <v>0</v>
      </c>
      <c r="P83" s="76">
        <f t="shared" ref="P83:S88" si="61">O83*102.5%</f>
        <v>0</v>
      </c>
      <c r="Q83" s="76">
        <f t="shared" si="61"/>
        <v>0</v>
      </c>
      <c r="R83" s="76">
        <f t="shared" si="61"/>
        <v>0</v>
      </c>
      <c r="S83" s="76">
        <f t="shared" si="61"/>
        <v>0</v>
      </c>
      <c r="T83" s="122"/>
    </row>
    <row r="84" spans="1:20" x14ac:dyDescent="0.25">
      <c r="B84" s="290"/>
      <c r="C84" s="289"/>
      <c r="D84" s="289"/>
      <c r="E84" s="81" t="s">
        <v>7</v>
      </c>
      <c r="F84" s="245">
        <f t="shared" si="57"/>
        <v>0</v>
      </c>
      <c r="G84" s="228">
        <v>0</v>
      </c>
      <c r="H84" s="217">
        <v>0</v>
      </c>
      <c r="I84" s="247">
        <v>0</v>
      </c>
      <c r="J84" s="227">
        <v>0</v>
      </c>
      <c r="K84" s="227">
        <v>0</v>
      </c>
      <c r="L84" s="227">
        <f t="shared" si="58"/>
        <v>0</v>
      </c>
      <c r="M84" s="227">
        <f t="shared" si="59"/>
        <v>0</v>
      </c>
      <c r="N84" s="75">
        <f>L84*103%</f>
        <v>0</v>
      </c>
      <c r="O84" s="76">
        <f t="shared" si="60"/>
        <v>0</v>
      </c>
      <c r="P84" s="76">
        <f t="shared" si="61"/>
        <v>0</v>
      </c>
      <c r="Q84" s="76">
        <f t="shared" si="61"/>
        <v>0</v>
      </c>
      <c r="R84" s="76">
        <f t="shared" si="61"/>
        <v>0</v>
      </c>
      <c r="S84" s="76">
        <f t="shared" si="61"/>
        <v>0</v>
      </c>
      <c r="T84" s="122"/>
    </row>
    <row r="85" spans="1:20" s="57" customFormat="1" x14ac:dyDescent="0.25">
      <c r="A85" s="38"/>
      <c r="B85" s="290"/>
      <c r="C85" s="289"/>
      <c r="D85" s="289"/>
      <c r="E85" s="81" t="s">
        <v>8</v>
      </c>
      <c r="F85" s="245">
        <f t="shared" si="57"/>
        <v>0</v>
      </c>
      <c r="G85" s="228">
        <v>0</v>
      </c>
      <c r="H85" s="217">
        <v>0</v>
      </c>
      <c r="I85" s="247">
        <v>0</v>
      </c>
      <c r="J85" s="227">
        <v>0</v>
      </c>
      <c r="K85" s="227">
        <v>0</v>
      </c>
      <c r="L85" s="227">
        <f t="shared" si="58"/>
        <v>0</v>
      </c>
      <c r="M85" s="227">
        <f t="shared" si="59"/>
        <v>0</v>
      </c>
      <c r="N85" s="75">
        <f>L85*102.9%</f>
        <v>0</v>
      </c>
      <c r="O85" s="76">
        <f t="shared" si="60"/>
        <v>0</v>
      </c>
      <c r="P85" s="76">
        <f t="shared" si="61"/>
        <v>0</v>
      </c>
      <c r="Q85" s="76">
        <f t="shared" si="61"/>
        <v>0</v>
      </c>
      <c r="R85" s="76">
        <f t="shared" si="61"/>
        <v>0</v>
      </c>
      <c r="S85" s="76">
        <f t="shared" si="61"/>
        <v>0</v>
      </c>
      <c r="T85" s="122"/>
    </row>
    <row r="86" spans="1:20" ht="31.5" x14ac:dyDescent="0.25">
      <c r="B86" s="290"/>
      <c r="C86" s="289"/>
      <c r="D86" s="289"/>
      <c r="E86" s="81" t="s">
        <v>14</v>
      </c>
      <c r="F86" s="245">
        <f t="shared" si="57"/>
        <v>0</v>
      </c>
      <c r="G86" s="228">
        <v>0</v>
      </c>
      <c r="H86" s="217">
        <v>0</v>
      </c>
      <c r="I86" s="247">
        <v>0</v>
      </c>
      <c r="J86" s="227">
        <v>0</v>
      </c>
      <c r="K86" s="227">
        <v>0</v>
      </c>
      <c r="L86" s="227">
        <f t="shared" si="58"/>
        <v>0</v>
      </c>
      <c r="M86" s="227">
        <f t="shared" si="59"/>
        <v>0</v>
      </c>
      <c r="N86" s="75">
        <f>L86*102.9%</f>
        <v>0</v>
      </c>
      <c r="O86" s="76">
        <f t="shared" si="60"/>
        <v>0</v>
      </c>
      <c r="P86" s="76">
        <f t="shared" si="61"/>
        <v>0</v>
      </c>
      <c r="Q86" s="76">
        <f t="shared" si="61"/>
        <v>0</v>
      </c>
      <c r="R86" s="76">
        <f t="shared" si="61"/>
        <v>0</v>
      </c>
      <c r="S86" s="76">
        <f t="shared" si="61"/>
        <v>0</v>
      </c>
      <c r="T86" s="122"/>
    </row>
    <row r="87" spans="1:20" x14ac:dyDescent="0.25">
      <c r="B87" s="290"/>
      <c r="C87" s="289"/>
      <c r="D87" s="289"/>
      <c r="E87" s="78" t="s">
        <v>262</v>
      </c>
      <c r="F87" s="245">
        <f t="shared" si="57"/>
        <v>0</v>
      </c>
      <c r="G87" s="228">
        <v>0</v>
      </c>
      <c r="H87" s="217">
        <v>0</v>
      </c>
      <c r="I87" s="247">
        <v>0</v>
      </c>
      <c r="J87" s="227">
        <v>0</v>
      </c>
      <c r="K87" s="227">
        <v>0</v>
      </c>
      <c r="L87" s="227">
        <f t="shared" si="58"/>
        <v>0</v>
      </c>
      <c r="M87" s="227">
        <f t="shared" si="59"/>
        <v>0</v>
      </c>
      <c r="N87" s="75">
        <f>L87*102.9%</f>
        <v>0</v>
      </c>
      <c r="O87" s="76">
        <f t="shared" si="60"/>
        <v>0</v>
      </c>
      <c r="P87" s="76">
        <f t="shared" si="61"/>
        <v>0</v>
      </c>
      <c r="Q87" s="76">
        <f t="shared" si="61"/>
        <v>0</v>
      </c>
      <c r="R87" s="76">
        <f t="shared" si="61"/>
        <v>0</v>
      </c>
      <c r="S87" s="76">
        <f t="shared" si="61"/>
        <v>0</v>
      </c>
      <c r="T87" s="122"/>
    </row>
    <row r="88" spans="1:20" s="150" customFormat="1" ht="18.75" customHeight="1" x14ac:dyDescent="0.25">
      <c r="A88" s="38"/>
      <c r="B88" s="290"/>
      <c r="C88" s="289"/>
      <c r="D88" s="289"/>
      <c r="E88" s="79" t="s">
        <v>24</v>
      </c>
      <c r="F88" s="245">
        <f t="shared" si="57"/>
        <v>0</v>
      </c>
      <c r="G88" s="228">
        <v>0</v>
      </c>
      <c r="H88" s="217">
        <v>0</v>
      </c>
      <c r="I88" s="247">
        <v>0</v>
      </c>
      <c r="J88" s="227">
        <v>0</v>
      </c>
      <c r="K88" s="227">
        <v>0</v>
      </c>
      <c r="L88" s="227">
        <f t="shared" si="58"/>
        <v>0</v>
      </c>
      <c r="M88" s="227">
        <f t="shared" si="59"/>
        <v>0</v>
      </c>
      <c r="N88" s="75">
        <f>L88*102.9%</f>
        <v>0</v>
      </c>
      <c r="O88" s="76">
        <f t="shared" si="60"/>
        <v>0</v>
      </c>
      <c r="P88" s="76">
        <f t="shared" si="61"/>
        <v>0</v>
      </c>
      <c r="Q88" s="76">
        <f t="shared" si="61"/>
        <v>0</v>
      </c>
      <c r="R88" s="76">
        <f t="shared" si="61"/>
        <v>0</v>
      </c>
      <c r="S88" s="76">
        <f t="shared" si="61"/>
        <v>0</v>
      </c>
      <c r="T88" s="122"/>
    </row>
    <row r="89" spans="1:20" ht="18.75" customHeight="1" x14ac:dyDescent="0.2">
      <c r="B89" s="286" t="s">
        <v>15</v>
      </c>
      <c r="C89" s="280" t="s">
        <v>216</v>
      </c>
      <c r="D89" s="289" t="s">
        <v>16</v>
      </c>
      <c r="E89" s="77" t="s">
        <v>34</v>
      </c>
      <c r="F89" s="229">
        <f t="shared" ref="F89:S89" si="62">F90+F91+F92+F93+F95</f>
        <v>13816.80337583009</v>
      </c>
      <c r="G89" s="233">
        <f t="shared" si="62"/>
        <v>484.375</v>
      </c>
      <c r="H89" s="222">
        <f t="shared" si="62"/>
        <v>436.10399999999998</v>
      </c>
      <c r="I89" s="229">
        <f t="shared" si="62"/>
        <v>1535.761</v>
      </c>
      <c r="J89" s="234">
        <f t="shared" si="62"/>
        <v>1204.8</v>
      </c>
      <c r="K89" s="234">
        <f t="shared" si="62"/>
        <v>1244.8</v>
      </c>
      <c r="L89" s="234">
        <f t="shared" si="62"/>
        <v>1175</v>
      </c>
      <c r="M89" s="234">
        <f t="shared" si="62"/>
        <v>7735.9633758300897</v>
      </c>
      <c r="N89" s="74">
        <f t="shared" si="62"/>
        <v>1209.0750000000003</v>
      </c>
      <c r="O89" s="73">
        <f t="shared" si="62"/>
        <v>1241.7200250000005</v>
      </c>
      <c r="P89" s="73">
        <f t="shared" si="62"/>
        <v>1272.7630256250004</v>
      </c>
      <c r="Q89" s="73">
        <f t="shared" si="62"/>
        <v>1304.5821012656254</v>
      </c>
      <c r="R89" s="73">
        <f t="shared" si="62"/>
        <v>1337.196653797266</v>
      </c>
      <c r="S89" s="73">
        <f t="shared" si="62"/>
        <v>1370.6265701421976</v>
      </c>
      <c r="T89" s="121"/>
    </row>
    <row r="90" spans="1:20" ht="15.75" customHeight="1" x14ac:dyDescent="0.25">
      <c r="B90" s="287"/>
      <c r="C90" s="281"/>
      <c r="D90" s="289"/>
      <c r="E90" s="81" t="s">
        <v>6</v>
      </c>
      <c r="F90" s="245">
        <f t="shared" ref="F90:F95" si="63">G90+H90+I90+J90+K90+L90+M90</f>
        <v>0</v>
      </c>
      <c r="G90" s="228">
        <v>0</v>
      </c>
      <c r="H90" s="217">
        <v>0</v>
      </c>
      <c r="I90" s="248">
        <v>0</v>
      </c>
      <c r="J90" s="227">
        <v>0</v>
      </c>
      <c r="K90" s="227">
        <v>0</v>
      </c>
      <c r="L90" s="227">
        <v>0</v>
      </c>
      <c r="M90" s="227">
        <v>0</v>
      </c>
      <c r="N90" s="75">
        <f>L90*103%</f>
        <v>0</v>
      </c>
      <c r="O90" s="76">
        <f t="shared" ref="O90:O95" si="64">N90*102.7%</f>
        <v>0</v>
      </c>
      <c r="P90" s="76">
        <f t="shared" ref="P90:S95" si="65">O90*102.5%</f>
        <v>0</v>
      </c>
      <c r="Q90" s="76">
        <f t="shared" si="65"/>
        <v>0</v>
      </c>
      <c r="R90" s="76">
        <f t="shared" si="65"/>
        <v>0</v>
      </c>
      <c r="S90" s="76">
        <f t="shared" si="65"/>
        <v>0</v>
      </c>
      <c r="T90" s="122"/>
    </row>
    <row r="91" spans="1:20" ht="18.75" customHeight="1" x14ac:dyDescent="0.25">
      <c r="B91" s="287"/>
      <c r="C91" s="281"/>
      <c r="D91" s="289"/>
      <c r="E91" s="81" t="s">
        <v>7</v>
      </c>
      <c r="F91" s="245">
        <f t="shared" si="63"/>
        <v>886.8</v>
      </c>
      <c r="G91" s="228">
        <f>467.4-79.9</f>
        <v>387.5</v>
      </c>
      <c r="H91" s="217"/>
      <c r="I91" s="226">
        <v>329.7</v>
      </c>
      <c r="J91" s="227">
        <v>84.8</v>
      </c>
      <c r="K91" s="227">
        <v>84.8</v>
      </c>
      <c r="L91" s="227">
        <v>0</v>
      </c>
      <c r="M91" s="227">
        <v>0</v>
      </c>
      <c r="N91" s="75">
        <f>L91*103%</f>
        <v>0</v>
      </c>
      <c r="O91" s="76">
        <f t="shared" si="64"/>
        <v>0</v>
      </c>
      <c r="P91" s="76">
        <f t="shared" si="65"/>
        <v>0</v>
      </c>
      <c r="Q91" s="76">
        <f t="shared" si="65"/>
        <v>0</v>
      </c>
      <c r="R91" s="76">
        <f t="shared" si="65"/>
        <v>0</v>
      </c>
      <c r="S91" s="76">
        <f t="shared" si="65"/>
        <v>0</v>
      </c>
      <c r="T91" s="122"/>
    </row>
    <row r="92" spans="1:20" ht="20.25" customHeight="1" x14ac:dyDescent="0.25">
      <c r="B92" s="287"/>
      <c r="C92" s="281"/>
      <c r="D92" s="289"/>
      <c r="E92" s="81" t="s">
        <v>8</v>
      </c>
      <c r="F92" s="245">
        <f t="shared" si="63"/>
        <v>2456.3789999999999</v>
      </c>
      <c r="G92" s="228">
        <f>51.93333+44.94167</f>
        <v>96.875</v>
      </c>
      <c r="H92" s="217">
        <v>436.10399999999998</v>
      </c>
      <c r="I92" s="226">
        <v>623.4</v>
      </c>
      <c r="J92" s="227">
        <v>600</v>
      </c>
      <c r="K92" s="227">
        <v>700</v>
      </c>
      <c r="L92" s="227">
        <v>0</v>
      </c>
      <c r="M92" s="227">
        <v>0</v>
      </c>
      <c r="N92" s="75">
        <f>L92*102.9%</f>
        <v>0</v>
      </c>
      <c r="O92" s="76">
        <f t="shared" si="64"/>
        <v>0</v>
      </c>
      <c r="P92" s="76">
        <f t="shared" si="65"/>
        <v>0</v>
      </c>
      <c r="Q92" s="76">
        <f t="shared" si="65"/>
        <v>0</v>
      </c>
      <c r="R92" s="76">
        <f t="shared" si="65"/>
        <v>0</v>
      </c>
      <c r="S92" s="76">
        <f t="shared" si="65"/>
        <v>0</v>
      </c>
      <c r="T92" s="122"/>
    </row>
    <row r="93" spans="1:20" ht="31.5" customHeight="1" x14ac:dyDescent="0.25">
      <c r="B93" s="287"/>
      <c r="C93" s="281"/>
      <c r="D93" s="289"/>
      <c r="E93" s="81" t="s">
        <v>14</v>
      </c>
      <c r="F93" s="226">
        <f t="shared" si="63"/>
        <v>0</v>
      </c>
      <c r="G93" s="228">
        <v>0</v>
      </c>
      <c r="H93" s="217">
        <v>0</v>
      </c>
      <c r="I93" s="248">
        <v>0</v>
      </c>
      <c r="J93" s="227">
        <v>0</v>
      </c>
      <c r="K93" s="227">
        <v>0</v>
      </c>
      <c r="L93" s="227">
        <v>0</v>
      </c>
      <c r="M93" s="227">
        <v>0</v>
      </c>
      <c r="N93" s="75">
        <f>L93*102.9%</f>
        <v>0</v>
      </c>
      <c r="O93" s="76">
        <f t="shared" si="64"/>
        <v>0</v>
      </c>
      <c r="P93" s="76">
        <f t="shared" si="65"/>
        <v>0</v>
      </c>
      <c r="Q93" s="76">
        <f t="shared" si="65"/>
        <v>0</v>
      </c>
      <c r="R93" s="76">
        <f t="shared" si="65"/>
        <v>0</v>
      </c>
      <c r="S93" s="76">
        <f t="shared" si="65"/>
        <v>0</v>
      </c>
      <c r="T93" s="122"/>
    </row>
    <row r="94" spans="1:20" ht="15.75" customHeight="1" x14ac:dyDescent="0.25">
      <c r="B94" s="287"/>
      <c r="C94" s="281"/>
      <c r="D94" s="289"/>
      <c r="E94" s="78" t="s">
        <v>262</v>
      </c>
      <c r="F94" s="245">
        <f t="shared" si="63"/>
        <v>0</v>
      </c>
      <c r="G94" s="228">
        <v>0</v>
      </c>
      <c r="H94" s="217">
        <v>0</v>
      </c>
      <c r="I94" s="248">
        <v>0</v>
      </c>
      <c r="J94" s="227">
        <v>0</v>
      </c>
      <c r="K94" s="227">
        <v>0</v>
      </c>
      <c r="L94" s="227">
        <v>0</v>
      </c>
      <c r="M94" s="227">
        <v>0</v>
      </c>
      <c r="N94" s="75">
        <f>L94*102.9%</f>
        <v>0</v>
      </c>
      <c r="O94" s="76">
        <f t="shared" si="64"/>
        <v>0</v>
      </c>
      <c r="P94" s="76">
        <f t="shared" si="65"/>
        <v>0</v>
      </c>
      <c r="Q94" s="76">
        <f t="shared" si="65"/>
        <v>0</v>
      </c>
      <c r="R94" s="76">
        <f t="shared" si="65"/>
        <v>0</v>
      </c>
      <c r="S94" s="76">
        <f t="shared" si="65"/>
        <v>0</v>
      </c>
      <c r="T94" s="122"/>
    </row>
    <row r="95" spans="1:20" ht="22.5" customHeight="1" x14ac:dyDescent="0.25">
      <c r="B95" s="287"/>
      <c r="C95" s="281"/>
      <c r="D95" s="289"/>
      <c r="E95" s="79" t="s">
        <v>24</v>
      </c>
      <c r="F95" s="245">
        <f t="shared" si="63"/>
        <v>10473.62437583009</v>
      </c>
      <c r="G95" s="216">
        <f>1520.4-1520.4</f>
        <v>0</v>
      </c>
      <c r="H95" s="217">
        <v>0</v>
      </c>
      <c r="I95" s="248">
        <v>582.66099999999994</v>
      </c>
      <c r="J95" s="227">
        <f>1120-600</f>
        <v>520</v>
      </c>
      <c r="K95" s="227">
        <f>1160-700</f>
        <v>460</v>
      </c>
      <c r="L95" s="227">
        <v>1175</v>
      </c>
      <c r="M95" s="227">
        <f>N95+O95+P95+Q95+R95+S95</f>
        <v>7735.9633758300897</v>
      </c>
      <c r="N95" s="75">
        <f>L95*102.9%</f>
        <v>1209.0750000000003</v>
      </c>
      <c r="O95" s="76">
        <f t="shared" si="64"/>
        <v>1241.7200250000005</v>
      </c>
      <c r="P95" s="76">
        <f t="shared" si="65"/>
        <v>1272.7630256250004</v>
      </c>
      <c r="Q95" s="76">
        <f t="shared" si="65"/>
        <v>1304.5821012656254</v>
      </c>
      <c r="R95" s="76">
        <f t="shared" si="65"/>
        <v>1337.196653797266</v>
      </c>
      <c r="S95" s="76">
        <f t="shared" si="65"/>
        <v>1370.6265701421976</v>
      </c>
      <c r="T95" s="122"/>
    </row>
    <row r="96" spans="1:20" ht="18.75" customHeight="1" x14ac:dyDescent="0.2">
      <c r="B96" s="287"/>
      <c r="C96" s="281"/>
      <c r="D96" s="289" t="s">
        <v>100</v>
      </c>
      <c r="E96" s="77" t="s">
        <v>34</v>
      </c>
      <c r="F96" s="229">
        <f t="shared" ref="F96:S96" si="66">F97+F98+F99+F100+F102</f>
        <v>99.875</v>
      </c>
      <c r="G96" s="233">
        <f t="shared" si="66"/>
        <v>99.875</v>
      </c>
      <c r="H96" s="222">
        <f t="shared" si="66"/>
        <v>0</v>
      </c>
      <c r="I96" s="229">
        <f t="shared" si="66"/>
        <v>0</v>
      </c>
      <c r="J96" s="234">
        <f t="shared" si="66"/>
        <v>0</v>
      </c>
      <c r="K96" s="234">
        <f t="shared" si="66"/>
        <v>0</v>
      </c>
      <c r="L96" s="234">
        <f t="shared" si="66"/>
        <v>0</v>
      </c>
      <c r="M96" s="234">
        <f t="shared" si="66"/>
        <v>0</v>
      </c>
      <c r="N96" s="74">
        <f t="shared" si="66"/>
        <v>0</v>
      </c>
      <c r="O96" s="73">
        <f t="shared" si="66"/>
        <v>0</v>
      </c>
      <c r="P96" s="73">
        <f t="shared" si="66"/>
        <v>0</v>
      </c>
      <c r="Q96" s="73">
        <f t="shared" si="66"/>
        <v>0</v>
      </c>
      <c r="R96" s="73">
        <f t="shared" si="66"/>
        <v>0</v>
      </c>
      <c r="S96" s="73">
        <f t="shared" si="66"/>
        <v>0</v>
      </c>
      <c r="T96" s="121"/>
    </row>
    <row r="97" spans="1:20" x14ac:dyDescent="0.25">
      <c r="B97" s="287"/>
      <c r="C97" s="281"/>
      <c r="D97" s="289"/>
      <c r="E97" s="81" t="s">
        <v>6</v>
      </c>
      <c r="F97" s="245">
        <f t="shared" ref="F97:F102" si="67">G97+H97+I97+J97+K97+L97+M97</f>
        <v>0</v>
      </c>
      <c r="G97" s="228">
        <v>0</v>
      </c>
      <c r="H97" s="217">
        <v>0</v>
      </c>
      <c r="I97" s="249">
        <v>0</v>
      </c>
      <c r="J97" s="227">
        <v>0</v>
      </c>
      <c r="K97" s="227">
        <v>0</v>
      </c>
      <c r="L97" s="227">
        <v>0</v>
      </c>
      <c r="M97" s="227">
        <v>0</v>
      </c>
      <c r="N97" s="75">
        <f>L97*103%</f>
        <v>0</v>
      </c>
      <c r="O97" s="76">
        <f t="shared" ref="O97:O102" si="68">N97*102.7%</f>
        <v>0</v>
      </c>
      <c r="P97" s="76">
        <f t="shared" ref="P97:S102" si="69">O97*102.5%</f>
        <v>0</v>
      </c>
      <c r="Q97" s="76">
        <f t="shared" si="69"/>
        <v>0</v>
      </c>
      <c r="R97" s="76">
        <f t="shared" si="69"/>
        <v>0</v>
      </c>
      <c r="S97" s="76">
        <f t="shared" si="69"/>
        <v>0</v>
      </c>
      <c r="T97" s="122"/>
    </row>
    <row r="98" spans="1:20" x14ac:dyDescent="0.25">
      <c r="B98" s="287"/>
      <c r="C98" s="281"/>
      <c r="D98" s="289"/>
      <c r="E98" s="81" t="s">
        <v>7</v>
      </c>
      <c r="F98" s="245">
        <f t="shared" si="67"/>
        <v>79.900000000000006</v>
      </c>
      <c r="G98" s="228">
        <f>79.9</f>
        <v>79.900000000000006</v>
      </c>
      <c r="H98" s="217">
        <v>0</v>
      </c>
      <c r="I98" s="249">
        <v>0</v>
      </c>
      <c r="J98" s="227">
        <v>0</v>
      </c>
      <c r="K98" s="227">
        <v>0</v>
      </c>
      <c r="L98" s="227">
        <v>0</v>
      </c>
      <c r="M98" s="227">
        <v>0</v>
      </c>
      <c r="N98" s="75">
        <f>L98*103%</f>
        <v>0</v>
      </c>
      <c r="O98" s="76">
        <f t="shared" si="68"/>
        <v>0</v>
      </c>
      <c r="P98" s="76">
        <f t="shared" si="69"/>
        <v>0</v>
      </c>
      <c r="Q98" s="76">
        <f t="shared" si="69"/>
        <v>0</v>
      </c>
      <c r="R98" s="76">
        <f t="shared" si="69"/>
        <v>0</v>
      </c>
      <c r="S98" s="76">
        <f t="shared" si="69"/>
        <v>0</v>
      </c>
      <c r="T98" s="122"/>
    </row>
    <row r="99" spans="1:20" x14ac:dyDescent="0.25">
      <c r="B99" s="287"/>
      <c r="C99" s="281"/>
      <c r="D99" s="289"/>
      <c r="E99" s="81" t="s">
        <v>8</v>
      </c>
      <c r="F99" s="245">
        <f t="shared" si="67"/>
        <v>19.975000000000001</v>
      </c>
      <c r="G99" s="228">
        <v>19.975000000000001</v>
      </c>
      <c r="H99" s="217">
        <v>0</v>
      </c>
      <c r="I99" s="249">
        <v>0</v>
      </c>
      <c r="J99" s="227">
        <v>0</v>
      </c>
      <c r="K99" s="227">
        <v>0</v>
      </c>
      <c r="L99" s="227">
        <v>0</v>
      </c>
      <c r="M99" s="227">
        <v>0</v>
      </c>
      <c r="N99" s="75">
        <f>L99*102.9%</f>
        <v>0</v>
      </c>
      <c r="O99" s="76">
        <f t="shared" si="68"/>
        <v>0</v>
      </c>
      <c r="P99" s="76">
        <f t="shared" si="69"/>
        <v>0</v>
      </c>
      <c r="Q99" s="76">
        <f t="shared" si="69"/>
        <v>0</v>
      </c>
      <c r="R99" s="76">
        <f t="shared" si="69"/>
        <v>0</v>
      </c>
      <c r="S99" s="76">
        <f t="shared" si="69"/>
        <v>0</v>
      </c>
      <c r="T99" s="122"/>
    </row>
    <row r="100" spans="1:20" ht="31.5" x14ac:dyDescent="0.25">
      <c r="B100" s="287"/>
      <c r="C100" s="281"/>
      <c r="D100" s="289"/>
      <c r="E100" s="81" t="s">
        <v>14</v>
      </c>
      <c r="F100" s="226">
        <f t="shared" si="67"/>
        <v>0</v>
      </c>
      <c r="G100" s="228">
        <v>0</v>
      </c>
      <c r="H100" s="217">
        <v>0</v>
      </c>
      <c r="I100" s="249">
        <v>0</v>
      </c>
      <c r="J100" s="227">
        <v>0</v>
      </c>
      <c r="K100" s="227">
        <v>0</v>
      </c>
      <c r="L100" s="227">
        <v>0</v>
      </c>
      <c r="M100" s="227">
        <v>0</v>
      </c>
      <c r="N100" s="75">
        <f>L100*102.9%</f>
        <v>0</v>
      </c>
      <c r="O100" s="76">
        <f t="shared" si="68"/>
        <v>0</v>
      </c>
      <c r="P100" s="76">
        <f t="shared" si="69"/>
        <v>0</v>
      </c>
      <c r="Q100" s="76">
        <f t="shared" si="69"/>
        <v>0</v>
      </c>
      <c r="R100" s="76">
        <f t="shared" si="69"/>
        <v>0</v>
      </c>
      <c r="S100" s="76">
        <f t="shared" si="69"/>
        <v>0</v>
      </c>
      <c r="T100" s="122"/>
    </row>
    <row r="101" spans="1:20" x14ac:dyDescent="0.25">
      <c r="B101" s="287"/>
      <c r="C101" s="281"/>
      <c r="D101" s="289"/>
      <c r="E101" s="78" t="s">
        <v>262</v>
      </c>
      <c r="F101" s="245">
        <f t="shared" si="67"/>
        <v>0</v>
      </c>
      <c r="G101" s="228">
        <v>0</v>
      </c>
      <c r="H101" s="217">
        <v>0</v>
      </c>
      <c r="I101" s="249">
        <v>0</v>
      </c>
      <c r="J101" s="227">
        <v>0</v>
      </c>
      <c r="K101" s="227">
        <v>0</v>
      </c>
      <c r="L101" s="227">
        <v>0</v>
      </c>
      <c r="M101" s="227">
        <v>0</v>
      </c>
      <c r="N101" s="75">
        <f>L101*102.9%</f>
        <v>0</v>
      </c>
      <c r="O101" s="76">
        <f t="shared" si="68"/>
        <v>0</v>
      </c>
      <c r="P101" s="76">
        <f t="shared" si="69"/>
        <v>0</v>
      </c>
      <c r="Q101" s="76">
        <f t="shared" si="69"/>
        <v>0</v>
      </c>
      <c r="R101" s="76">
        <f t="shared" si="69"/>
        <v>0</v>
      </c>
      <c r="S101" s="76">
        <f t="shared" si="69"/>
        <v>0</v>
      </c>
      <c r="T101" s="122"/>
    </row>
    <row r="102" spans="1:20" x14ac:dyDescent="0.25">
      <c r="B102" s="288"/>
      <c r="C102" s="282"/>
      <c r="D102" s="289"/>
      <c r="E102" s="79" t="s">
        <v>24</v>
      </c>
      <c r="F102" s="245">
        <f t="shared" si="67"/>
        <v>0</v>
      </c>
      <c r="G102" s="228">
        <v>0</v>
      </c>
      <c r="H102" s="217">
        <v>0</v>
      </c>
      <c r="I102" s="249">
        <v>0</v>
      </c>
      <c r="J102" s="227">
        <v>0</v>
      </c>
      <c r="K102" s="227">
        <v>0</v>
      </c>
      <c r="L102" s="227">
        <v>0</v>
      </c>
      <c r="M102" s="227">
        <v>0</v>
      </c>
      <c r="N102" s="75">
        <f>L102*102.9%</f>
        <v>0</v>
      </c>
      <c r="O102" s="76">
        <f t="shared" si="68"/>
        <v>0</v>
      </c>
      <c r="P102" s="76">
        <f t="shared" si="69"/>
        <v>0</v>
      </c>
      <c r="Q102" s="76">
        <f t="shared" si="69"/>
        <v>0</v>
      </c>
      <c r="R102" s="76">
        <f t="shared" si="69"/>
        <v>0</v>
      </c>
      <c r="S102" s="76">
        <f t="shared" si="69"/>
        <v>0</v>
      </c>
      <c r="T102" s="122"/>
    </row>
    <row r="103" spans="1:20" ht="21" customHeight="1" x14ac:dyDescent="0.2">
      <c r="B103" s="290" t="s">
        <v>17</v>
      </c>
      <c r="C103" s="291" t="s">
        <v>252</v>
      </c>
      <c r="D103" s="289" t="s">
        <v>16</v>
      </c>
      <c r="E103" s="77" t="s">
        <v>34</v>
      </c>
      <c r="F103" s="229">
        <f t="shared" ref="F103:S103" si="70">F104+F105+F106+F107+F109</f>
        <v>730623.79140225856</v>
      </c>
      <c r="G103" s="233">
        <f t="shared" si="70"/>
        <v>52654.936719999998</v>
      </c>
      <c r="H103" s="222">
        <f t="shared" si="70"/>
        <v>62034.084110000003</v>
      </c>
      <c r="I103" s="229">
        <f t="shared" si="70"/>
        <v>61355.213759999999</v>
      </c>
      <c r="J103" s="234">
        <f t="shared" si="70"/>
        <v>61411.254117880002</v>
      </c>
      <c r="K103" s="234">
        <f t="shared" si="70"/>
        <v>61467.495561750038</v>
      </c>
      <c r="L103" s="234">
        <f t="shared" si="70"/>
        <v>61520.311390402538</v>
      </c>
      <c r="M103" s="234">
        <f t="shared" si="70"/>
        <v>370180.4957422259</v>
      </c>
      <c r="N103" s="74">
        <f t="shared" si="70"/>
        <v>61572.898350464216</v>
      </c>
      <c r="O103" s="73">
        <f t="shared" si="70"/>
        <v>61623.27847154675</v>
      </c>
      <c r="P103" s="73">
        <f t="shared" si="70"/>
        <v>61671.186234835419</v>
      </c>
      <c r="Q103" s="73">
        <f t="shared" si="70"/>
        <v>61720.291692206301</v>
      </c>
      <c r="R103" s="73">
        <f t="shared" si="70"/>
        <v>61770.62478601146</v>
      </c>
      <c r="S103" s="73">
        <f t="shared" si="70"/>
        <v>61822.216207161742</v>
      </c>
      <c r="T103" s="121"/>
    </row>
    <row r="104" spans="1:20" x14ac:dyDescent="0.25">
      <c r="B104" s="290"/>
      <c r="C104" s="291"/>
      <c r="D104" s="289"/>
      <c r="E104" s="81" t="s">
        <v>6</v>
      </c>
      <c r="F104" s="245">
        <f t="shared" ref="F104:F109" si="71">G104+H104+I104+J104+K104+L104+M104</f>
        <v>0</v>
      </c>
      <c r="G104" s="216">
        <v>0</v>
      </c>
      <c r="H104" s="217">
        <v>0</v>
      </c>
      <c r="I104" s="219"/>
      <c r="J104" s="225">
        <f>I104*103.4%</f>
        <v>0</v>
      </c>
      <c r="K104" s="225">
        <f>J104*103.3%</f>
        <v>0</v>
      </c>
      <c r="L104" s="225">
        <f>K104*103%</f>
        <v>0</v>
      </c>
      <c r="M104" s="225">
        <f t="shared" ref="M104:M105" si="72">N104+O104+P104+Q104+R104+S104</f>
        <v>0</v>
      </c>
      <c r="N104" s="75">
        <f>L104*103%</f>
        <v>0</v>
      </c>
      <c r="O104" s="76">
        <f>N104*102.7%</f>
        <v>0</v>
      </c>
      <c r="P104" s="76">
        <f t="shared" ref="P104:S105" si="73">O104*102.5%</f>
        <v>0</v>
      </c>
      <c r="Q104" s="76">
        <f t="shared" si="73"/>
        <v>0</v>
      </c>
      <c r="R104" s="76">
        <f t="shared" si="73"/>
        <v>0</v>
      </c>
      <c r="S104" s="76">
        <f t="shared" si="73"/>
        <v>0</v>
      </c>
      <c r="T104" s="122"/>
    </row>
    <row r="105" spans="1:20" x14ac:dyDescent="0.25">
      <c r="B105" s="290"/>
      <c r="C105" s="291"/>
      <c r="D105" s="289"/>
      <c r="E105" s="81" t="s">
        <v>7</v>
      </c>
      <c r="F105" s="245">
        <f t="shared" si="71"/>
        <v>0</v>
      </c>
      <c r="G105" s="216">
        <v>0</v>
      </c>
      <c r="H105" s="217">
        <v>0</v>
      </c>
      <c r="I105" s="219"/>
      <c r="J105" s="225">
        <f>I105*103.4%</f>
        <v>0</v>
      </c>
      <c r="K105" s="225">
        <f>J105*103.3%</f>
        <v>0</v>
      </c>
      <c r="L105" s="225">
        <f>K105*103%</f>
        <v>0</v>
      </c>
      <c r="M105" s="225">
        <f t="shared" si="72"/>
        <v>0</v>
      </c>
      <c r="N105" s="75">
        <f>L105*103%</f>
        <v>0</v>
      </c>
      <c r="O105" s="76">
        <f>N105*102.7%</f>
        <v>0</v>
      </c>
      <c r="P105" s="76">
        <f t="shared" si="73"/>
        <v>0</v>
      </c>
      <c r="Q105" s="76">
        <f t="shared" si="73"/>
        <v>0</v>
      </c>
      <c r="R105" s="76">
        <f t="shared" si="73"/>
        <v>0</v>
      </c>
      <c r="S105" s="76">
        <f t="shared" si="73"/>
        <v>0</v>
      </c>
      <c r="T105" s="122"/>
    </row>
    <row r="106" spans="1:20" x14ac:dyDescent="0.25">
      <c r="A106" s="57"/>
      <c r="B106" s="290"/>
      <c r="C106" s="291"/>
      <c r="D106" s="289"/>
      <c r="E106" s="82" t="s">
        <v>8</v>
      </c>
      <c r="F106" s="245">
        <f t="shared" si="71"/>
        <v>710858.70023000007</v>
      </c>
      <c r="G106" s="216">
        <v>52654.936719999998</v>
      </c>
      <c r="H106" s="217">
        <f>62284.08411-250</f>
        <v>62034.084110000003</v>
      </c>
      <c r="I106" s="219">
        <f>59706.96794-900</f>
        <v>58806.967940000002</v>
      </c>
      <c r="J106" s="225">
        <v>59706.967940000002</v>
      </c>
      <c r="K106" s="225">
        <v>59706.967940000002</v>
      </c>
      <c r="L106" s="225">
        <f>K106</f>
        <v>59706.967940000002</v>
      </c>
      <c r="M106" s="225">
        <f>N106+O106+P106+Q106+R106+S106</f>
        <v>358241.80764000001</v>
      </c>
      <c r="N106" s="75">
        <f>L106</f>
        <v>59706.967940000002</v>
      </c>
      <c r="O106" s="76">
        <f>N106</f>
        <v>59706.967940000002</v>
      </c>
      <c r="P106" s="76">
        <f>O106</f>
        <v>59706.967940000002</v>
      </c>
      <c r="Q106" s="76">
        <f>P106</f>
        <v>59706.967940000002</v>
      </c>
      <c r="R106" s="76">
        <f>Q106</f>
        <v>59706.967940000002</v>
      </c>
      <c r="S106" s="76">
        <f>R106</f>
        <v>59706.967940000002</v>
      </c>
      <c r="T106" s="122"/>
    </row>
    <row r="107" spans="1:20" ht="31.5" x14ac:dyDescent="0.25">
      <c r="B107" s="290"/>
      <c r="C107" s="291"/>
      <c r="D107" s="289"/>
      <c r="E107" s="81" t="s">
        <v>14</v>
      </c>
      <c r="F107" s="226">
        <f t="shared" si="71"/>
        <v>0</v>
      </c>
      <c r="G107" s="216">
        <v>0</v>
      </c>
      <c r="H107" s="217">
        <v>0</v>
      </c>
      <c r="I107" s="218">
        <v>0</v>
      </c>
      <c r="J107" s="225">
        <v>0</v>
      </c>
      <c r="K107" s="225">
        <v>0</v>
      </c>
      <c r="L107" s="225">
        <v>0</v>
      </c>
      <c r="M107" s="225">
        <v>0</v>
      </c>
      <c r="N107" s="75">
        <f>L107*102.9%</f>
        <v>0</v>
      </c>
      <c r="O107" s="76">
        <f>N107*102.7%</f>
        <v>0</v>
      </c>
      <c r="P107" s="76">
        <f t="shared" ref="P107:S109" si="74">O107*102.5%</f>
        <v>0</v>
      </c>
      <c r="Q107" s="76">
        <f t="shared" si="74"/>
        <v>0</v>
      </c>
      <c r="R107" s="76">
        <f t="shared" si="74"/>
        <v>0</v>
      </c>
      <c r="S107" s="76">
        <f t="shared" si="74"/>
        <v>0</v>
      </c>
      <c r="T107" s="122"/>
    </row>
    <row r="108" spans="1:20" x14ac:dyDescent="0.25">
      <c r="B108" s="290"/>
      <c r="C108" s="291"/>
      <c r="D108" s="289"/>
      <c r="E108" s="78" t="s">
        <v>262</v>
      </c>
      <c r="F108" s="245">
        <f t="shared" si="71"/>
        <v>0</v>
      </c>
      <c r="G108" s="216">
        <v>0</v>
      </c>
      <c r="H108" s="217">
        <v>0</v>
      </c>
      <c r="I108" s="219">
        <v>0</v>
      </c>
      <c r="J108" s="225">
        <v>0</v>
      </c>
      <c r="K108" s="225">
        <v>0</v>
      </c>
      <c r="L108" s="225">
        <v>0</v>
      </c>
      <c r="M108" s="225">
        <v>0</v>
      </c>
      <c r="N108" s="75">
        <f>L108*102.9%</f>
        <v>0</v>
      </c>
      <c r="O108" s="76">
        <f>N108*102.7%</f>
        <v>0</v>
      </c>
      <c r="P108" s="76">
        <f t="shared" si="74"/>
        <v>0</v>
      </c>
      <c r="Q108" s="76">
        <f t="shared" si="74"/>
        <v>0</v>
      </c>
      <c r="R108" s="76">
        <f t="shared" si="74"/>
        <v>0</v>
      </c>
      <c r="S108" s="76">
        <f t="shared" si="74"/>
        <v>0</v>
      </c>
      <c r="T108" s="122"/>
    </row>
    <row r="109" spans="1:20" x14ac:dyDescent="0.25">
      <c r="A109" s="57"/>
      <c r="B109" s="290"/>
      <c r="C109" s="291"/>
      <c r="D109" s="289"/>
      <c r="E109" s="149" t="s">
        <v>24</v>
      </c>
      <c r="F109" s="245">
        <f t="shared" si="71"/>
        <v>19765.091172258435</v>
      </c>
      <c r="G109" s="216">
        <f>1822.35799-1822.35799</f>
        <v>0</v>
      </c>
      <c r="H109" s="217">
        <v>0</v>
      </c>
      <c r="I109" s="248">
        <v>2548.2458200000001</v>
      </c>
      <c r="J109" s="227">
        <f>(I103-J106)*103.4%</f>
        <v>1704.2861778799963</v>
      </c>
      <c r="K109" s="227">
        <f>(J103-K106)*103.3%</f>
        <v>1760.5276217500395</v>
      </c>
      <c r="L109" s="227">
        <f>(K103-L106)*103%</f>
        <v>1813.343450402537</v>
      </c>
      <c r="M109" s="227">
        <f>N109+O109+P109+Q109+R109+S109</f>
        <v>11938.688102225864</v>
      </c>
      <c r="N109" s="75">
        <f>L109*102.9%</f>
        <v>1865.9304104642108</v>
      </c>
      <c r="O109" s="76">
        <f>N109*102.7%</f>
        <v>1916.3105315467446</v>
      </c>
      <c r="P109" s="76">
        <f t="shared" si="74"/>
        <v>1964.2182948354132</v>
      </c>
      <c r="Q109" s="76">
        <f t="shared" si="74"/>
        <v>2013.3237522062984</v>
      </c>
      <c r="R109" s="76">
        <f t="shared" si="74"/>
        <v>2063.6568460114559</v>
      </c>
      <c r="S109" s="76">
        <f t="shared" si="74"/>
        <v>2115.2482671617422</v>
      </c>
      <c r="T109" s="122"/>
    </row>
    <row r="110" spans="1:20" ht="20.25" customHeight="1" x14ac:dyDescent="0.2">
      <c r="B110" s="290" t="s">
        <v>54</v>
      </c>
      <c r="C110" s="289" t="s">
        <v>206</v>
      </c>
      <c r="D110" s="289" t="s">
        <v>16</v>
      </c>
      <c r="E110" s="77" t="s">
        <v>34</v>
      </c>
      <c r="F110" s="229">
        <f>+F111+F112+F113+F114+F116</f>
        <v>2613.9440710192011</v>
      </c>
      <c r="G110" s="233">
        <f t="shared" ref="G110:S110" si="75">G111+G112+G113+G114+G116</f>
        <v>55</v>
      </c>
      <c r="H110" s="222">
        <f t="shared" si="75"/>
        <v>150</v>
      </c>
      <c r="I110" s="229">
        <f t="shared" si="75"/>
        <v>134</v>
      </c>
      <c r="J110" s="234">
        <f t="shared" si="75"/>
        <v>235</v>
      </c>
      <c r="K110" s="234">
        <f t="shared" si="75"/>
        <v>235</v>
      </c>
      <c r="L110" s="234">
        <f t="shared" si="75"/>
        <v>238</v>
      </c>
      <c r="M110" s="234">
        <f t="shared" si="75"/>
        <v>1566.9440710192011</v>
      </c>
      <c r="N110" s="74">
        <f t="shared" si="75"/>
        <v>244.90200000000004</v>
      </c>
      <c r="O110" s="73">
        <f t="shared" si="75"/>
        <v>251.51435400000008</v>
      </c>
      <c r="P110" s="73">
        <f t="shared" si="75"/>
        <v>257.80221285000005</v>
      </c>
      <c r="Q110" s="73">
        <f t="shared" si="75"/>
        <v>264.24726817125003</v>
      </c>
      <c r="R110" s="73">
        <f t="shared" si="75"/>
        <v>270.85344987553128</v>
      </c>
      <c r="S110" s="73">
        <f t="shared" si="75"/>
        <v>277.62478612241955</v>
      </c>
      <c r="T110" s="121"/>
    </row>
    <row r="111" spans="1:20" x14ac:dyDescent="0.25">
      <c r="B111" s="290"/>
      <c r="C111" s="289"/>
      <c r="D111" s="289"/>
      <c r="E111" s="79" t="s">
        <v>6</v>
      </c>
      <c r="F111" s="245">
        <f t="shared" ref="F111:F116" si="76">G111+H111+I111+J111+K111+L111+M111</f>
        <v>0</v>
      </c>
      <c r="G111" s="228">
        <v>0</v>
      </c>
      <c r="H111" s="217">
        <v>0</v>
      </c>
      <c r="I111" s="248">
        <v>0</v>
      </c>
      <c r="J111" s="227">
        <v>0</v>
      </c>
      <c r="K111" s="227">
        <v>0</v>
      </c>
      <c r="L111" s="227">
        <v>0</v>
      </c>
      <c r="M111" s="227">
        <v>0</v>
      </c>
      <c r="N111" s="75">
        <f>L111*103%</f>
        <v>0</v>
      </c>
      <c r="O111" s="76">
        <f t="shared" ref="O111:O116" si="77">N111*102.7%</f>
        <v>0</v>
      </c>
      <c r="P111" s="76">
        <f t="shared" ref="P111:S116" si="78">O111*102.5%</f>
        <v>0</v>
      </c>
      <c r="Q111" s="76">
        <f t="shared" si="78"/>
        <v>0</v>
      </c>
      <c r="R111" s="76">
        <f t="shared" si="78"/>
        <v>0</v>
      </c>
      <c r="S111" s="76">
        <f t="shared" si="78"/>
        <v>0</v>
      </c>
      <c r="T111" s="122"/>
    </row>
    <row r="112" spans="1:20" x14ac:dyDescent="0.25">
      <c r="B112" s="290"/>
      <c r="C112" s="289"/>
      <c r="D112" s="289"/>
      <c r="E112" s="79" t="s">
        <v>7</v>
      </c>
      <c r="F112" s="245">
        <f t="shared" si="76"/>
        <v>0</v>
      </c>
      <c r="G112" s="228">
        <v>0</v>
      </c>
      <c r="H112" s="217">
        <v>0</v>
      </c>
      <c r="I112" s="248">
        <v>0</v>
      </c>
      <c r="J112" s="227">
        <v>0</v>
      </c>
      <c r="K112" s="227">
        <v>0</v>
      </c>
      <c r="L112" s="227">
        <v>0</v>
      </c>
      <c r="M112" s="227">
        <v>0</v>
      </c>
      <c r="N112" s="75">
        <f>L112*103%</f>
        <v>0</v>
      </c>
      <c r="O112" s="76">
        <f t="shared" si="77"/>
        <v>0</v>
      </c>
      <c r="P112" s="76">
        <f t="shared" si="78"/>
        <v>0</v>
      </c>
      <c r="Q112" s="76">
        <f t="shared" si="78"/>
        <v>0</v>
      </c>
      <c r="R112" s="76">
        <f t="shared" si="78"/>
        <v>0</v>
      </c>
      <c r="S112" s="76">
        <f t="shared" si="78"/>
        <v>0</v>
      </c>
      <c r="T112" s="122"/>
    </row>
    <row r="113" spans="1:20" s="57" customFormat="1" x14ac:dyDescent="0.25">
      <c r="A113" s="38"/>
      <c r="B113" s="290"/>
      <c r="C113" s="289"/>
      <c r="D113" s="289"/>
      <c r="E113" s="79" t="s">
        <v>8</v>
      </c>
      <c r="F113" s="245">
        <f t="shared" si="76"/>
        <v>205</v>
      </c>
      <c r="G113" s="228">
        <v>55</v>
      </c>
      <c r="H113" s="217">
        <v>150</v>
      </c>
      <c r="I113" s="248">
        <v>0</v>
      </c>
      <c r="J113" s="227">
        <v>0</v>
      </c>
      <c r="K113" s="227">
        <v>0</v>
      </c>
      <c r="L113" s="227">
        <v>0</v>
      </c>
      <c r="M113" s="227">
        <v>0</v>
      </c>
      <c r="N113" s="75">
        <f>L113*102.9%</f>
        <v>0</v>
      </c>
      <c r="O113" s="76">
        <f t="shared" si="77"/>
        <v>0</v>
      </c>
      <c r="P113" s="76">
        <f t="shared" si="78"/>
        <v>0</v>
      </c>
      <c r="Q113" s="76">
        <f t="shared" si="78"/>
        <v>0</v>
      </c>
      <c r="R113" s="76">
        <f t="shared" si="78"/>
        <v>0</v>
      </c>
      <c r="S113" s="76">
        <f t="shared" si="78"/>
        <v>0</v>
      </c>
      <c r="T113" s="122"/>
    </row>
    <row r="114" spans="1:20" ht="31.5" x14ac:dyDescent="0.25">
      <c r="B114" s="290"/>
      <c r="C114" s="289"/>
      <c r="D114" s="289"/>
      <c r="E114" s="79" t="s">
        <v>9</v>
      </c>
      <c r="F114" s="226">
        <f t="shared" si="76"/>
        <v>0</v>
      </c>
      <c r="G114" s="228">
        <v>0</v>
      </c>
      <c r="H114" s="217">
        <v>0</v>
      </c>
      <c r="I114" s="248">
        <v>0</v>
      </c>
      <c r="J114" s="227">
        <v>0</v>
      </c>
      <c r="K114" s="227">
        <v>0</v>
      </c>
      <c r="L114" s="227">
        <v>0</v>
      </c>
      <c r="M114" s="227">
        <v>0</v>
      </c>
      <c r="N114" s="75">
        <f>L114*102.9%</f>
        <v>0</v>
      </c>
      <c r="O114" s="76">
        <f t="shared" si="77"/>
        <v>0</v>
      </c>
      <c r="P114" s="76">
        <f t="shared" si="78"/>
        <v>0</v>
      </c>
      <c r="Q114" s="76">
        <f t="shared" si="78"/>
        <v>0</v>
      </c>
      <c r="R114" s="76">
        <f t="shared" si="78"/>
        <v>0</v>
      </c>
      <c r="S114" s="76">
        <f t="shared" si="78"/>
        <v>0</v>
      </c>
      <c r="T114" s="122"/>
    </row>
    <row r="115" spans="1:20" x14ac:dyDescent="0.25">
      <c r="B115" s="290"/>
      <c r="C115" s="289"/>
      <c r="D115" s="289"/>
      <c r="E115" s="78" t="s">
        <v>262</v>
      </c>
      <c r="F115" s="245">
        <f t="shared" si="76"/>
        <v>0</v>
      </c>
      <c r="G115" s="228">
        <v>0</v>
      </c>
      <c r="H115" s="217">
        <v>0</v>
      </c>
      <c r="I115" s="248">
        <v>0</v>
      </c>
      <c r="J115" s="227">
        <v>0</v>
      </c>
      <c r="K115" s="227">
        <v>0</v>
      </c>
      <c r="L115" s="227">
        <v>0</v>
      </c>
      <c r="M115" s="227">
        <v>0</v>
      </c>
      <c r="N115" s="75">
        <f>L115*102.9%</f>
        <v>0</v>
      </c>
      <c r="O115" s="76">
        <f t="shared" si="77"/>
        <v>0</v>
      </c>
      <c r="P115" s="76">
        <f t="shared" si="78"/>
        <v>0</v>
      </c>
      <c r="Q115" s="76">
        <f t="shared" si="78"/>
        <v>0</v>
      </c>
      <c r="R115" s="76">
        <f t="shared" si="78"/>
        <v>0</v>
      </c>
      <c r="S115" s="76">
        <f t="shared" si="78"/>
        <v>0</v>
      </c>
      <c r="T115" s="122"/>
    </row>
    <row r="116" spans="1:20" s="57" customFormat="1" x14ac:dyDescent="0.25">
      <c r="A116" s="38"/>
      <c r="B116" s="290"/>
      <c r="C116" s="289"/>
      <c r="D116" s="289"/>
      <c r="E116" s="79" t="s">
        <v>24</v>
      </c>
      <c r="F116" s="245">
        <f t="shared" si="76"/>
        <v>2408.9440710192011</v>
      </c>
      <c r="G116" s="216">
        <f>150-150</f>
        <v>0</v>
      </c>
      <c r="H116" s="217">
        <v>0</v>
      </c>
      <c r="I116" s="248">
        <v>134</v>
      </c>
      <c r="J116" s="227">
        <f>200+35</f>
        <v>235</v>
      </c>
      <c r="K116" s="227">
        <f>202+33</f>
        <v>235</v>
      </c>
      <c r="L116" s="227">
        <f>210+28</f>
        <v>238</v>
      </c>
      <c r="M116" s="227">
        <f>N116+O116+P116+Q116+R116+S116</f>
        <v>1566.9440710192011</v>
      </c>
      <c r="N116" s="75">
        <f>L116*102.9%</f>
        <v>244.90200000000004</v>
      </c>
      <c r="O116" s="76">
        <f t="shared" si="77"/>
        <v>251.51435400000008</v>
      </c>
      <c r="P116" s="76">
        <f t="shared" si="78"/>
        <v>257.80221285000005</v>
      </c>
      <c r="Q116" s="76">
        <f t="shared" si="78"/>
        <v>264.24726817125003</v>
      </c>
      <c r="R116" s="76">
        <f t="shared" si="78"/>
        <v>270.85344987553128</v>
      </c>
      <c r="S116" s="76">
        <f t="shared" si="78"/>
        <v>277.62478612241955</v>
      </c>
      <c r="T116" s="122"/>
    </row>
    <row r="117" spans="1:20" ht="20.25" customHeight="1" x14ac:dyDescent="0.2">
      <c r="B117" s="286" t="s">
        <v>27</v>
      </c>
      <c r="C117" s="280" t="s">
        <v>205</v>
      </c>
      <c r="D117" s="289" t="s">
        <v>16</v>
      </c>
      <c r="E117" s="77" t="s">
        <v>34</v>
      </c>
      <c r="F117" s="229">
        <f t="shared" ref="F117:M117" si="79">F118+F119+F120+F121+F123</f>
        <v>15144.16115</v>
      </c>
      <c r="G117" s="233">
        <f t="shared" si="79"/>
        <v>155</v>
      </c>
      <c r="H117" s="222">
        <f t="shared" si="79"/>
        <v>13133.16115</v>
      </c>
      <c r="I117" s="229">
        <f t="shared" si="79"/>
        <v>690</v>
      </c>
      <c r="J117" s="234">
        <f t="shared" si="79"/>
        <v>190</v>
      </c>
      <c r="K117" s="234">
        <f t="shared" si="79"/>
        <v>976</v>
      </c>
      <c r="L117" s="234">
        <f t="shared" si="79"/>
        <v>0</v>
      </c>
      <c r="M117" s="234">
        <f t="shared" si="79"/>
        <v>0</v>
      </c>
      <c r="N117" s="83"/>
      <c r="O117" s="73">
        <f>O118+O119+O120+O121+O123</f>
        <v>0</v>
      </c>
      <c r="P117" s="73">
        <f>P118+P119+P120+P121+P123</f>
        <v>0</v>
      </c>
      <c r="Q117" s="73">
        <f>Q118+Q119+Q120+Q121+Q123</f>
        <v>0</v>
      </c>
      <c r="R117" s="73">
        <f>R118+R119+R120+R121+R123</f>
        <v>0</v>
      </c>
      <c r="S117" s="73">
        <f>S118+S119+S120+S121+S123</f>
        <v>0</v>
      </c>
      <c r="T117" s="121"/>
    </row>
    <row r="118" spans="1:20" x14ac:dyDescent="0.25">
      <c r="B118" s="287"/>
      <c r="C118" s="281"/>
      <c r="D118" s="289"/>
      <c r="E118" s="79" t="s">
        <v>6</v>
      </c>
      <c r="F118" s="250">
        <f t="shared" ref="F118:F123" si="80">G118+H118+I118+J118+K118+L118+M118</f>
        <v>0</v>
      </c>
      <c r="G118" s="223">
        <v>0</v>
      </c>
      <c r="H118" s="222">
        <v>0</v>
      </c>
      <c r="I118" s="219">
        <v>0</v>
      </c>
      <c r="J118" s="225">
        <v>0</v>
      </c>
      <c r="K118" s="225">
        <v>0</v>
      </c>
      <c r="L118" s="225">
        <v>0</v>
      </c>
      <c r="M118" s="227">
        <v>0</v>
      </c>
      <c r="N118" s="75">
        <f>L118*103%</f>
        <v>0</v>
      </c>
      <c r="O118" s="76">
        <f t="shared" ref="O118:O123" si="81">N118*102.7%</f>
        <v>0</v>
      </c>
      <c r="P118" s="76">
        <f t="shared" ref="P118:S123" si="82">O118*102.5%</f>
        <v>0</v>
      </c>
      <c r="Q118" s="76">
        <f t="shared" si="82"/>
        <v>0</v>
      </c>
      <c r="R118" s="76">
        <f t="shared" si="82"/>
        <v>0</v>
      </c>
      <c r="S118" s="76">
        <f t="shared" si="82"/>
        <v>0</v>
      </c>
      <c r="T118" s="122"/>
    </row>
    <row r="119" spans="1:20" x14ac:dyDescent="0.25">
      <c r="B119" s="287"/>
      <c r="C119" s="281"/>
      <c r="D119" s="289"/>
      <c r="E119" s="79" t="s">
        <v>7</v>
      </c>
      <c r="F119" s="250">
        <f t="shared" si="80"/>
        <v>0</v>
      </c>
      <c r="G119" s="223">
        <v>0</v>
      </c>
      <c r="H119" s="222">
        <v>0</v>
      </c>
      <c r="I119" s="219">
        <v>0</v>
      </c>
      <c r="J119" s="225">
        <v>0</v>
      </c>
      <c r="K119" s="225">
        <v>0</v>
      </c>
      <c r="L119" s="225">
        <v>0</v>
      </c>
      <c r="M119" s="227">
        <v>0</v>
      </c>
      <c r="N119" s="75">
        <f>L119*103%</f>
        <v>0</v>
      </c>
      <c r="O119" s="76">
        <f t="shared" si="81"/>
        <v>0</v>
      </c>
      <c r="P119" s="76">
        <f t="shared" si="82"/>
        <v>0</v>
      </c>
      <c r="Q119" s="76">
        <f t="shared" si="82"/>
        <v>0</v>
      </c>
      <c r="R119" s="76">
        <f t="shared" si="82"/>
        <v>0</v>
      </c>
      <c r="S119" s="76">
        <f t="shared" si="82"/>
        <v>0</v>
      </c>
      <c r="T119" s="122"/>
    </row>
    <row r="120" spans="1:20" x14ac:dyDescent="0.25">
      <c r="B120" s="287"/>
      <c r="C120" s="281"/>
      <c r="D120" s="289"/>
      <c r="E120" s="79" t="s">
        <v>8</v>
      </c>
      <c r="F120" s="250">
        <f t="shared" si="80"/>
        <v>13978.16115</v>
      </c>
      <c r="G120" s="216">
        <v>155</v>
      </c>
      <c r="H120" s="217">
        <f>14634.6-1501.43885</f>
        <v>13133.16115</v>
      </c>
      <c r="I120" s="219">
        <v>690</v>
      </c>
      <c r="J120" s="225"/>
      <c r="K120" s="225">
        <v>0</v>
      </c>
      <c r="L120" s="225">
        <v>0</v>
      </c>
      <c r="M120" s="227">
        <v>0</v>
      </c>
      <c r="N120" s="75">
        <f>L120*102.9%</f>
        <v>0</v>
      </c>
      <c r="O120" s="76">
        <f t="shared" si="81"/>
        <v>0</v>
      </c>
      <c r="P120" s="76">
        <f t="shared" si="82"/>
        <v>0</v>
      </c>
      <c r="Q120" s="76">
        <f t="shared" si="82"/>
        <v>0</v>
      </c>
      <c r="R120" s="76">
        <f t="shared" si="82"/>
        <v>0</v>
      </c>
      <c r="S120" s="76">
        <f t="shared" si="82"/>
        <v>0</v>
      </c>
      <c r="T120" s="122"/>
    </row>
    <row r="121" spans="1:20" ht="36" customHeight="1" x14ac:dyDescent="0.25">
      <c r="B121" s="287"/>
      <c r="C121" s="281"/>
      <c r="D121" s="289"/>
      <c r="E121" s="79" t="s">
        <v>9</v>
      </c>
      <c r="F121" s="217">
        <f t="shared" si="80"/>
        <v>0</v>
      </c>
      <c r="G121" s="223">
        <v>0</v>
      </c>
      <c r="H121" s="222">
        <v>0</v>
      </c>
      <c r="I121" s="219">
        <v>0</v>
      </c>
      <c r="J121" s="225">
        <v>0</v>
      </c>
      <c r="K121" s="225">
        <v>0</v>
      </c>
      <c r="L121" s="225">
        <v>0</v>
      </c>
      <c r="M121" s="227">
        <v>0</v>
      </c>
      <c r="N121" s="75">
        <f>L121*102.9%</f>
        <v>0</v>
      </c>
      <c r="O121" s="76">
        <f t="shared" si="81"/>
        <v>0</v>
      </c>
      <c r="P121" s="76">
        <f t="shared" si="82"/>
        <v>0</v>
      </c>
      <c r="Q121" s="76">
        <f t="shared" si="82"/>
        <v>0</v>
      </c>
      <c r="R121" s="76">
        <f t="shared" si="82"/>
        <v>0</v>
      </c>
      <c r="S121" s="76">
        <f t="shared" si="82"/>
        <v>0</v>
      </c>
      <c r="T121" s="122"/>
    </row>
    <row r="122" spans="1:20" x14ac:dyDescent="0.25">
      <c r="B122" s="287"/>
      <c r="C122" s="281"/>
      <c r="D122" s="289"/>
      <c r="E122" s="78" t="s">
        <v>262</v>
      </c>
      <c r="F122" s="250">
        <f t="shared" si="80"/>
        <v>0</v>
      </c>
      <c r="G122" s="216">
        <v>0</v>
      </c>
      <c r="H122" s="217">
        <v>0</v>
      </c>
      <c r="I122" s="219">
        <v>0</v>
      </c>
      <c r="J122" s="225">
        <v>0</v>
      </c>
      <c r="K122" s="225">
        <v>0</v>
      </c>
      <c r="L122" s="225">
        <v>0</v>
      </c>
      <c r="M122" s="227">
        <v>0</v>
      </c>
      <c r="N122" s="75">
        <f>L122*102.9%</f>
        <v>0</v>
      </c>
      <c r="O122" s="76">
        <f t="shared" si="81"/>
        <v>0</v>
      </c>
      <c r="P122" s="76">
        <f t="shared" si="82"/>
        <v>0</v>
      </c>
      <c r="Q122" s="76">
        <f t="shared" si="82"/>
        <v>0</v>
      </c>
      <c r="R122" s="76">
        <f t="shared" si="82"/>
        <v>0</v>
      </c>
      <c r="S122" s="76">
        <f t="shared" si="82"/>
        <v>0</v>
      </c>
      <c r="T122" s="122"/>
    </row>
    <row r="123" spans="1:20" x14ac:dyDescent="0.25">
      <c r="B123" s="287"/>
      <c r="C123" s="281"/>
      <c r="D123" s="289"/>
      <c r="E123" s="79" t="s">
        <v>24</v>
      </c>
      <c r="F123" s="245">
        <f t="shared" si="80"/>
        <v>1166</v>
      </c>
      <c r="G123" s="216">
        <f>5300-5300</f>
        <v>0</v>
      </c>
      <c r="H123" s="217">
        <v>0</v>
      </c>
      <c r="I123" s="248">
        <v>0</v>
      </c>
      <c r="J123" s="227">
        <f>150+40</f>
        <v>190</v>
      </c>
      <c r="K123" s="227">
        <v>976</v>
      </c>
      <c r="L123" s="227">
        <v>0</v>
      </c>
      <c r="M123" s="227">
        <v>0</v>
      </c>
      <c r="N123" s="75">
        <f>L123*102.9%</f>
        <v>0</v>
      </c>
      <c r="O123" s="76">
        <f t="shared" si="81"/>
        <v>0</v>
      </c>
      <c r="P123" s="76">
        <f t="shared" si="82"/>
        <v>0</v>
      </c>
      <c r="Q123" s="76">
        <f t="shared" si="82"/>
        <v>0</v>
      </c>
      <c r="R123" s="76">
        <f t="shared" si="82"/>
        <v>0</v>
      </c>
      <c r="S123" s="76">
        <f t="shared" si="82"/>
        <v>0</v>
      </c>
      <c r="T123" s="122"/>
    </row>
    <row r="124" spans="1:20" ht="20.25" customHeight="1" x14ac:dyDescent="0.2">
      <c r="B124" s="287"/>
      <c r="C124" s="281"/>
      <c r="D124" s="289" t="s">
        <v>88</v>
      </c>
      <c r="E124" s="77" t="s">
        <v>34</v>
      </c>
      <c r="F124" s="229">
        <f t="shared" ref="F124:M124" si="83">F125+F126+F127+F128+F130</f>
        <v>0</v>
      </c>
      <c r="G124" s="233">
        <f t="shared" si="83"/>
        <v>0</v>
      </c>
      <c r="H124" s="222">
        <f t="shared" si="83"/>
        <v>0</v>
      </c>
      <c r="I124" s="229">
        <f t="shared" si="83"/>
        <v>50538.51</v>
      </c>
      <c r="J124" s="234">
        <f t="shared" si="83"/>
        <v>0</v>
      </c>
      <c r="K124" s="234">
        <f t="shared" si="83"/>
        <v>0</v>
      </c>
      <c r="L124" s="234">
        <f t="shared" si="83"/>
        <v>0</v>
      </c>
      <c r="M124" s="234">
        <f t="shared" si="83"/>
        <v>0</v>
      </c>
      <c r="N124" s="83"/>
      <c r="O124" s="73">
        <f>O125+O126+O127+O128+O130</f>
        <v>0</v>
      </c>
      <c r="P124" s="73">
        <f>P125+P126+P127+P128+P130</f>
        <v>0</v>
      </c>
      <c r="Q124" s="73">
        <f>Q125+Q126+Q127+Q128+Q130</f>
        <v>0</v>
      </c>
      <c r="R124" s="73">
        <f>R125+R126+R127+R128+R130</f>
        <v>0</v>
      </c>
      <c r="S124" s="73">
        <f>S125+S126+S127+S128+S130</f>
        <v>0</v>
      </c>
      <c r="T124" s="121"/>
    </row>
    <row r="125" spans="1:20" x14ac:dyDescent="0.25">
      <c r="B125" s="287"/>
      <c r="C125" s="281"/>
      <c r="D125" s="289"/>
      <c r="E125" s="79" t="s">
        <v>6</v>
      </c>
      <c r="F125" s="245">
        <f t="shared" ref="F125:F129" si="84">G125+H125+I125+J125+K125+L125+M125</f>
        <v>0</v>
      </c>
      <c r="G125" s="233">
        <v>0</v>
      </c>
      <c r="H125" s="222">
        <v>0</v>
      </c>
      <c r="I125" s="248">
        <v>0</v>
      </c>
      <c r="J125" s="227">
        <v>0</v>
      </c>
      <c r="K125" s="227">
        <v>0</v>
      </c>
      <c r="L125" s="227">
        <v>0</v>
      </c>
      <c r="M125" s="227">
        <v>0</v>
      </c>
      <c r="N125" s="75">
        <f>L125*103%</f>
        <v>0</v>
      </c>
      <c r="O125" s="76">
        <f t="shared" ref="O125:O130" si="85">N125*102.7%</f>
        <v>0</v>
      </c>
      <c r="P125" s="76">
        <f t="shared" ref="P125:S130" si="86">O125*102.5%</f>
        <v>0</v>
      </c>
      <c r="Q125" s="76">
        <f t="shared" si="86"/>
        <v>0</v>
      </c>
      <c r="R125" s="76">
        <f t="shared" si="86"/>
        <v>0</v>
      </c>
      <c r="S125" s="76">
        <f t="shared" si="86"/>
        <v>0</v>
      </c>
      <c r="T125" s="122"/>
    </row>
    <row r="126" spans="1:20" x14ac:dyDescent="0.25">
      <c r="B126" s="287"/>
      <c r="C126" s="281"/>
      <c r="D126" s="289"/>
      <c r="E126" s="79" t="s">
        <v>7</v>
      </c>
      <c r="F126" s="245">
        <f t="shared" si="84"/>
        <v>0</v>
      </c>
      <c r="G126" s="233">
        <v>0</v>
      </c>
      <c r="H126" s="222">
        <v>0</v>
      </c>
      <c r="I126" s="248">
        <v>0</v>
      </c>
      <c r="J126" s="227">
        <v>0</v>
      </c>
      <c r="K126" s="227">
        <v>0</v>
      </c>
      <c r="L126" s="227">
        <v>0</v>
      </c>
      <c r="M126" s="227">
        <v>0</v>
      </c>
      <c r="N126" s="75">
        <f>L126*103%</f>
        <v>0</v>
      </c>
      <c r="O126" s="76">
        <f t="shared" si="85"/>
        <v>0</v>
      </c>
      <c r="P126" s="76">
        <f t="shared" si="86"/>
        <v>0</v>
      </c>
      <c r="Q126" s="76">
        <f t="shared" si="86"/>
        <v>0</v>
      </c>
      <c r="R126" s="76">
        <f t="shared" si="86"/>
        <v>0</v>
      </c>
      <c r="S126" s="76">
        <f t="shared" si="86"/>
        <v>0</v>
      </c>
      <c r="T126" s="122"/>
    </row>
    <row r="127" spans="1:20" x14ac:dyDescent="0.25">
      <c r="B127" s="287"/>
      <c r="C127" s="281"/>
      <c r="D127" s="289"/>
      <c r="E127" s="79" t="s">
        <v>8</v>
      </c>
      <c r="F127" s="245"/>
      <c r="G127" s="228"/>
      <c r="H127" s="217">
        <v>0</v>
      </c>
      <c r="I127" s="248"/>
      <c r="J127" s="227"/>
      <c r="K127" s="227">
        <v>0</v>
      </c>
      <c r="L127" s="227">
        <v>0</v>
      </c>
      <c r="M127" s="227">
        <v>0</v>
      </c>
      <c r="N127" s="75">
        <f>L127*102.9%</f>
        <v>0</v>
      </c>
      <c r="O127" s="76">
        <f t="shared" si="85"/>
        <v>0</v>
      </c>
      <c r="P127" s="76">
        <f t="shared" si="86"/>
        <v>0</v>
      </c>
      <c r="Q127" s="76">
        <f t="shared" si="86"/>
        <v>0</v>
      </c>
      <c r="R127" s="76">
        <f t="shared" si="86"/>
        <v>0</v>
      </c>
      <c r="S127" s="76">
        <f t="shared" si="86"/>
        <v>0</v>
      </c>
      <c r="T127" s="122"/>
    </row>
    <row r="128" spans="1:20" ht="31.5" x14ac:dyDescent="0.25">
      <c r="B128" s="287"/>
      <c r="C128" s="281"/>
      <c r="D128" s="289"/>
      <c r="E128" s="79" t="s">
        <v>9</v>
      </c>
      <c r="F128" s="226">
        <f t="shared" si="84"/>
        <v>0</v>
      </c>
      <c r="G128" s="233">
        <v>0</v>
      </c>
      <c r="H128" s="222">
        <v>0</v>
      </c>
      <c r="I128" s="248">
        <v>0</v>
      </c>
      <c r="J128" s="227">
        <v>0</v>
      </c>
      <c r="K128" s="227">
        <v>0</v>
      </c>
      <c r="L128" s="227">
        <v>0</v>
      </c>
      <c r="M128" s="227">
        <v>0</v>
      </c>
      <c r="N128" s="75">
        <f>L128*102.9%</f>
        <v>0</v>
      </c>
      <c r="O128" s="76">
        <f t="shared" si="85"/>
        <v>0</v>
      </c>
      <c r="P128" s="76">
        <f t="shared" si="86"/>
        <v>0</v>
      </c>
      <c r="Q128" s="76">
        <f t="shared" si="86"/>
        <v>0</v>
      </c>
      <c r="R128" s="76">
        <f t="shared" si="86"/>
        <v>0</v>
      </c>
      <c r="S128" s="76">
        <f t="shared" si="86"/>
        <v>0</v>
      </c>
      <c r="T128" s="122"/>
    </row>
    <row r="129" spans="2:20" x14ac:dyDescent="0.25">
      <c r="B129" s="287"/>
      <c r="C129" s="281"/>
      <c r="D129" s="289"/>
      <c r="E129" s="78" t="s">
        <v>262</v>
      </c>
      <c r="F129" s="245">
        <f t="shared" si="84"/>
        <v>0</v>
      </c>
      <c r="G129" s="228">
        <v>0</v>
      </c>
      <c r="H129" s="217">
        <v>0</v>
      </c>
      <c r="I129" s="248">
        <v>0</v>
      </c>
      <c r="J129" s="227">
        <v>0</v>
      </c>
      <c r="K129" s="227">
        <v>0</v>
      </c>
      <c r="L129" s="227">
        <v>0</v>
      </c>
      <c r="M129" s="227">
        <v>0</v>
      </c>
      <c r="N129" s="75">
        <f>L129*102.9%</f>
        <v>0</v>
      </c>
      <c r="O129" s="76">
        <f t="shared" si="85"/>
        <v>0</v>
      </c>
      <c r="P129" s="76">
        <f t="shared" si="86"/>
        <v>0</v>
      </c>
      <c r="Q129" s="76">
        <f t="shared" si="86"/>
        <v>0</v>
      </c>
      <c r="R129" s="76">
        <f t="shared" si="86"/>
        <v>0</v>
      </c>
      <c r="S129" s="76">
        <f t="shared" si="86"/>
        <v>0</v>
      </c>
      <c r="T129" s="122"/>
    </row>
    <row r="130" spans="2:20" x14ac:dyDescent="0.25">
      <c r="B130" s="288"/>
      <c r="C130" s="282"/>
      <c r="D130" s="289"/>
      <c r="E130" s="79" t="s">
        <v>24</v>
      </c>
      <c r="F130" s="245"/>
      <c r="G130" s="228"/>
      <c r="H130" s="217"/>
      <c r="I130" s="248">
        <v>50538.51</v>
      </c>
      <c r="J130" s="227">
        <v>0</v>
      </c>
      <c r="K130" s="227">
        <v>0</v>
      </c>
      <c r="L130" s="227">
        <v>0</v>
      </c>
      <c r="M130" s="227">
        <v>0</v>
      </c>
      <c r="N130" s="75">
        <f>L130*102.9%</f>
        <v>0</v>
      </c>
      <c r="O130" s="76">
        <f t="shared" si="85"/>
        <v>0</v>
      </c>
      <c r="P130" s="76">
        <f t="shared" si="86"/>
        <v>0</v>
      </c>
      <c r="Q130" s="76">
        <f t="shared" si="86"/>
        <v>0</v>
      </c>
      <c r="R130" s="76">
        <f t="shared" si="86"/>
        <v>0</v>
      </c>
      <c r="S130" s="76">
        <f t="shared" si="86"/>
        <v>0</v>
      </c>
      <c r="T130" s="122"/>
    </row>
    <row r="131" spans="2:20" ht="20.25" customHeight="1" x14ac:dyDescent="0.2">
      <c r="B131" s="290" t="s">
        <v>86</v>
      </c>
      <c r="C131" s="290"/>
      <c r="D131" s="290"/>
      <c r="E131" s="77" t="s">
        <v>34</v>
      </c>
      <c r="F131" s="229">
        <f t="shared" ref="F131:S131" si="87">F132+F133+F134+F135+F137</f>
        <v>892152.35675884783</v>
      </c>
      <c r="G131" s="233">
        <f t="shared" si="87"/>
        <v>55091.33296</v>
      </c>
      <c r="H131" s="222">
        <f t="shared" si="87"/>
        <v>77092.783649999998</v>
      </c>
      <c r="I131" s="229">
        <f t="shared" si="87"/>
        <v>126576.72476000001</v>
      </c>
      <c r="J131" s="229">
        <f t="shared" si="87"/>
        <v>75445.756077880011</v>
      </c>
      <c r="K131" s="229">
        <f t="shared" si="87"/>
        <v>76415.031786430045</v>
      </c>
      <c r="L131" s="229">
        <f t="shared" si="87"/>
        <v>75506.780701822951</v>
      </c>
      <c r="M131" s="229">
        <f t="shared" si="87"/>
        <v>456562.45682271477</v>
      </c>
      <c r="N131" s="203">
        <f t="shared" si="87"/>
        <v>75681.723571915805</v>
      </c>
      <c r="O131" s="203">
        <f t="shared" si="87"/>
        <v>75849.324873977544</v>
      </c>
      <c r="P131" s="203">
        <f t="shared" si="87"/>
        <v>76008.701297326974</v>
      </c>
      <c r="Q131" s="203">
        <f t="shared" si="87"/>
        <v>76172.062131260143</v>
      </c>
      <c r="R131" s="203">
        <f t="shared" si="87"/>
        <v>76339.506986041655</v>
      </c>
      <c r="S131" s="203">
        <f t="shared" si="87"/>
        <v>76511.13796219269</v>
      </c>
      <c r="T131" s="204"/>
    </row>
    <row r="132" spans="2:20" x14ac:dyDescent="0.2">
      <c r="B132" s="290"/>
      <c r="C132" s="290"/>
      <c r="D132" s="290"/>
      <c r="E132" s="81" t="s">
        <v>6</v>
      </c>
      <c r="F132" s="245">
        <f>F76+F90+F97+F104+F111+F118+F125</f>
        <v>0</v>
      </c>
      <c r="G132" s="251">
        <f t="shared" ref="G132:S137" si="88">G76+G90+G97+G104+G111+G118+G125</f>
        <v>0</v>
      </c>
      <c r="H132" s="250">
        <f t="shared" si="88"/>
        <v>0</v>
      </c>
      <c r="I132" s="245">
        <f t="shared" si="88"/>
        <v>0</v>
      </c>
      <c r="J132" s="245">
        <f t="shared" si="88"/>
        <v>0</v>
      </c>
      <c r="K132" s="245">
        <f t="shared" si="88"/>
        <v>0</v>
      </c>
      <c r="L132" s="245">
        <f t="shared" si="88"/>
        <v>0</v>
      </c>
      <c r="M132" s="245">
        <f t="shared" si="88"/>
        <v>0</v>
      </c>
      <c r="N132" s="205">
        <f t="shared" si="88"/>
        <v>0</v>
      </c>
      <c r="O132" s="205">
        <f t="shared" si="88"/>
        <v>0</v>
      </c>
      <c r="P132" s="205">
        <f t="shared" si="88"/>
        <v>0</v>
      </c>
      <c r="Q132" s="205">
        <f t="shared" si="88"/>
        <v>0</v>
      </c>
      <c r="R132" s="205">
        <f t="shared" si="88"/>
        <v>0</v>
      </c>
      <c r="S132" s="205">
        <f t="shared" si="88"/>
        <v>0</v>
      </c>
      <c r="T132" s="206"/>
    </row>
    <row r="133" spans="2:20" x14ac:dyDescent="0.2">
      <c r="B133" s="290"/>
      <c r="C133" s="290"/>
      <c r="D133" s="290"/>
      <c r="E133" s="81" t="s">
        <v>7</v>
      </c>
      <c r="F133" s="245">
        <f t="shared" ref="F133:L137" si="89">F77+F91+F98+F105+F112+F119+F126</f>
        <v>966.69999999999993</v>
      </c>
      <c r="G133" s="251">
        <f t="shared" si="89"/>
        <v>467.4</v>
      </c>
      <c r="H133" s="250">
        <f t="shared" si="88"/>
        <v>0</v>
      </c>
      <c r="I133" s="245">
        <f t="shared" si="88"/>
        <v>329.7</v>
      </c>
      <c r="J133" s="245">
        <f t="shared" si="88"/>
        <v>84.8</v>
      </c>
      <c r="K133" s="245">
        <f t="shared" si="88"/>
        <v>84.8</v>
      </c>
      <c r="L133" s="245">
        <f t="shared" si="89"/>
        <v>0</v>
      </c>
      <c r="M133" s="245">
        <f t="shared" si="88"/>
        <v>0</v>
      </c>
      <c r="N133" s="205">
        <f t="shared" si="88"/>
        <v>0</v>
      </c>
      <c r="O133" s="205">
        <f t="shared" si="88"/>
        <v>0</v>
      </c>
      <c r="P133" s="205">
        <f t="shared" si="88"/>
        <v>0</v>
      </c>
      <c r="Q133" s="205">
        <f t="shared" si="88"/>
        <v>0</v>
      </c>
      <c r="R133" s="205">
        <f t="shared" si="88"/>
        <v>0</v>
      </c>
      <c r="S133" s="205">
        <f t="shared" si="88"/>
        <v>0</v>
      </c>
      <c r="T133" s="206"/>
    </row>
    <row r="134" spans="2:20" x14ac:dyDescent="0.2">
      <c r="B134" s="290"/>
      <c r="C134" s="290"/>
      <c r="D134" s="290"/>
      <c r="E134" s="81" t="s">
        <v>8</v>
      </c>
      <c r="F134" s="245">
        <f t="shared" si="89"/>
        <v>823565.49601000012</v>
      </c>
      <c r="G134" s="251">
        <f t="shared" si="89"/>
        <v>54623.932959999998</v>
      </c>
      <c r="H134" s="250">
        <f t="shared" si="88"/>
        <v>77092.783649999998</v>
      </c>
      <c r="I134" s="245">
        <f t="shared" si="88"/>
        <v>65120.367940000004</v>
      </c>
      <c r="J134" s="245">
        <f t="shared" si="88"/>
        <v>70234.267940000005</v>
      </c>
      <c r="K134" s="245">
        <f t="shared" si="88"/>
        <v>70174.267940000005</v>
      </c>
      <c r="L134" s="245">
        <f t="shared" si="89"/>
        <v>69474.267940000005</v>
      </c>
      <c r="M134" s="245">
        <f t="shared" si="88"/>
        <v>416845.60764</v>
      </c>
      <c r="N134" s="205">
        <f t="shared" si="88"/>
        <v>69474.267940000005</v>
      </c>
      <c r="O134" s="205">
        <f t="shared" si="88"/>
        <v>69474.267940000005</v>
      </c>
      <c r="P134" s="205">
        <f t="shared" si="88"/>
        <v>69474.267940000005</v>
      </c>
      <c r="Q134" s="205">
        <f t="shared" si="88"/>
        <v>69474.267940000005</v>
      </c>
      <c r="R134" s="205">
        <f t="shared" si="88"/>
        <v>69474.267940000005</v>
      </c>
      <c r="S134" s="205">
        <f t="shared" si="88"/>
        <v>69474.267940000005</v>
      </c>
      <c r="T134" s="206"/>
    </row>
    <row r="135" spans="2:20" ht="31.5" x14ac:dyDescent="0.2">
      <c r="B135" s="290"/>
      <c r="C135" s="290"/>
      <c r="D135" s="290"/>
      <c r="E135" s="81" t="s">
        <v>9</v>
      </c>
      <c r="F135" s="245">
        <f t="shared" si="89"/>
        <v>0</v>
      </c>
      <c r="G135" s="251">
        <f t="shared" si="89"/>
        <v>0</v>
      </c>
      <c r="H135" s="250">
        <f t="shared" si="88"/>
        <v>0</v>
      </c>
      <c r="I135" s="245">
        <f t="shared" si="88"/>
        <v>0</v>
      </c>
      <c r="J135" s="245">
        <f t="shared" si="88"/>
        <v>0</v>
      </c>
      <c r="K135" s="245">
        <f t="shared" si="88"/>
        <v>0</v>
      </c>
      <c r="L135" s="245">
        <f t="shared" si="89"/>
        <v>0</v>
      </c>
      <c r="M135" s="245">
        <f t="shared" si="88"/>
        <v>0</v>
      </c>
      <c r="N135" s="205">
        <f t="shared" si="88"/>
        <v>0</v>
      </c>
      <c r="O135" s="205">
        <f t="shared" si="88"/>
        <v>0</v>
      </c>
      <c r="P135" s="205">
        <f t="shared" si="88"/>
        <v>0</v>
      </c>
      <c r="Q135" s="205">
        <f t="shared" si="88"/>
        <v>0</v>
      </c>
      <c r="R135" s="205">
        <f t="shared" si="88"/>
        <v>0</v>
      </c>
      <c r="S135" s="205">
        <f t="shared" si="88"/>
        <v>0</v>
      </c>
      <c r="T135" s="206"/>
    </row>
    <row r="136" spans="2:20" x14ac:dyDescent="0.2">
      <c r="B136" s="290"/>
      <c r="C136" s="290"/>
      <c r="D136" s="290"/>
      <c r="E136" s="78" t="s">
        <v>262</v>
      </c>
      <c r="F136" s="245">
        <f t="shared" si="89"/>
        <v>0</v>
      </c>
      <c r="G136" s="251">
        <f t="shared" si="89"/>
        <v>0</v>
      </c>
      <c r="H136" s="250">
        <f t="shared" si="88"/>
        <v>0</v>
      </c>
      <c r="I136" s="245">
        <f t="shared" si="88"/>
        <v>0</v>
      </c>
      <c r="J136" s="245">
        <f t="shared" si="88"/>
        <v>0</v>
      </c>
      <c r="K136" s="245">
        <f t="shared" si="88"/>
        <v>0</v>
      </c>
      <c r="L136" s="245">
        <f t="shared" si="89"/>
        <v>0</v>
      </c>
      <c r="M136" s="245">
        <f t="shared" si="88"/>
        <v>0</v>
      </c>
      <c r="N136" s="205">
        <f t="shared" si="88"/>
        <v>0</v>
      </c>
      <c r="O136" s="205">
        <f t="shared" si="88"/>
        <v>0</v>
      </c>
      <c r="P136" s="205">
        <f t="shared" si="88"/>
        <v>0</v>
      </c>
      <c r="Q136" s="205">
        <f t="shared" si="88"/>
        <v>0</v>
      </c>
      <c r="R136" s="205">
        <f t="shared" si="88"/>
        <v>0</v>
      </c>
      <c r="S136" s="205">
        <f t="shared" si="88"/>
        <v>0</v>
      </c>
      <c r="T136" s="206"/>
    </row>
    <row r="137" spans="2:20" x14ac:dyDescent="0.2">
      <c r="B137" s="290"/>
      <c r="C137" s="290"/>
      <c r="D137" s="290"/>
      <c r="E137" s="79" t="s">
        <v>24</v>
      </c>
      <c r="F137" s="245">
        <f t="shared" si="89"/>
        <v>67620.16074884776</v>
      </c>
      <c r="G137" s="251">
        <f t="shared" si="89"/>
        <v>0</v>
      </c>
      <c r="H137" s="250">
        <f t="shared" si="88"/>
        <v>0</v>
      </c>
      <c r="I137" s="245">
        <f t="shared" si="88"/>
        <v>61126.656820000004</v>
      </c>
      <c r="J137" s="245">
        <f t="shared" si="88"/>
        <v>5126.6881378799972</v>
      </c>
      <c r="K137" s="245">
        <f t="shared" si="88"/>
        <v>6155.9638464300406</v>
      </c>
      <c r="L137" s="245">
        <f t="shared" si="89"/>
        <v>6032.512761822938</v>
      </c>
      <c r="M137" s="245">
        <f t="shared" si="88"/>
        <v>39716.849182714781</v>
      </c>
      <c r="N137" s="205">
        <f t="shared" si="88"/>
        <v>6207.4556319158037</v>
      </c>
      <c r="O137" s="205">
        <f t="shared" si="88"/>
        <v>6375.056933977532</v>
      </c>
      <c r="P137" s="205">
        <f t="shared" si="88"/>
        <v>6534.4333573269687</v>
      </c>
      <c r="Q137" s="205">
        <f t="shared" si="88"/>
        <v>6697.7941912601427</v>
      </c>
      <c r="R137" s="205">
        <f t="shared" si="88"/>
        <v>6865.2390460416473</v>
      </c>
      <c r="S137" s="205">
        <f t="shared" si="88"/>
        <v>7036.8700221926874</v>
      </c>
      <c r="T137" s="206"/>
    </row>
    <row r="138" spans="2:20" ht="15.75" x14ac:dyDescent="0.25">
      <c r="B138" s="300" t="s">
        <v>248</v>
      </c>
      <c r="C138" s="300"/>
      <c r="D138" s="300"/>
      <c r="E138" s="300"/>
      <c r="F138" s="300"/>
      <c r="G138" s="300"/>
      <c r="H138" s="300"/>
      <c r="I138" s="300"/>
      <c r="J138" s="300"/>
      <c r="K138" s="300"/>
      <c r="L138" s="300"/>
      <c r="M138" s="300"/>
      <c r="N138" s="153"/>
      <c r="O138" s="84"/>
      <c r="P138" s="84"/>
      <c r="Q138" s="84"/>
      <c r="R138" s="84"/>
      <c r="S138" s="84"/>
      <c r="T138" s="84"/>
    </row>
    <row r="139" spans="2:20" ht="18.75" customHeight="1" x14ac:dyDescent="0.2">
      <c r="B139" s="292" t="s">
        <v>48</v>
      </c>
      <c r="C139" s="291" t="s">
        <v>217</v>
      </c>
      <c r="D139" s="291" t="s">
        <v>16</v>
      </c>
      <c r="E139" s="39" t="s">
        <v>34</v>
      </c>
      <c r="F139" s="222">
        <f t="shared" ref="F139:S139" si="90">F140+F141+F142+F143+F145</f>
        <v>421.2</v>
      </c>
      <c r="G139" s="223">
        <f t="shared" si="90"/>
        <v>35.1</v>
      </c>
      <c r="H139" s="222">
        <f t="shared" si="90"/>
        <v>35.1</v>
      </c>
      <c r="I139" s="222">
        <f t="shared" si="90"/>
        <v>35.1</v>
      </c>
      <c r="J139" s="224">
        <f t="shared" si="90"/>
        <v>35.1</v>
      </c>
      <c r="K139" s="224">
        <f t="shared" si="90"/>
        <v>35.1</v>
      </c>
      <c r="L139" s="224">
        <f t="shared" si="90"/>
        <v>35.1</v>
      </c>
      <c r="M139" s="224">
        <f t="shared" si="90"/>
        <v>210.6</v>
      </c>
      <c r="N139" s="74">
        <f t="shared" si="90"/>
        <v>35.1</v>
      </c>
      <c r="O139" s="73">
        <f t="shared" si="90"/>
        <v>35.1</v>
      </c>
      <c r="P139" s="73">
        <f t="shared" si="90"/>
        <v>35.1</v>
      </c>
      <c r="Q139" s="73">
        <f t="shared" si="90"/>
        <v>35.1</v>
      </c>
      <c r="R139" s="73">
        <f t="shared" si="90"/>
        <v>35.1</v>
      </c>
      <c r="S139" s="73">
        <f t="shared" si="90"/>
        <v>35.1</v>
      </c>
      <c r="T139" s="121"/>
    </row>
    <row r="140" spans="2:20" x14ac:dyDescent="0.25">
      <c r="B140" s="292"/>
      <c r="C140" s="291"/>
      <c r="D140" s="291"/>
      <c r="E140" s="63" t="s">
        <v>6</v>
      </c>
      <c r="F140" s="250">
        <f t="shared" ref="F140:F145" si="91">G140+H140+I140+J140+K140+L140+M140</f>
        <v>0</v>
      </c>
      <c r="G140" s="216">
        <v>0</v>
      </c>
      <c r="H140" s="217">
        <v>0</v>
      </c>
      <c r="I140" s="246">
        <v>0</v>
      </c>
      <c r="J140" s="225">
        <v>0</v>
      </c>
      <c r="K140" s="225">
        <v>0</v>
      </c>
      <c r="L140" s="225">
        <v>0</v>
      </c>
      <c r="M140" s="225">
        <v>0</v>
      </c>
      <c r="N140" s="75">
        <f>L140*103%</f>
        <v>0</v>
      </c>
      <c r="O140" s="76">
        <f>N140*102.7%</f>
        <v>0</v>
      </c>
      <c r="P140" s="76">
        <f t="shared" ref="P140:S141" si="92">O140*102.5%</f>
        <v>0</v>
      </c>
      <c r="Q140" s="76">
        <f t="shared" si="92"/>
        <v>0</v>
      </c>
      <c r="R140" s="76">
        <f t="shared" si="92"/>
        <v>0</v>
      </c>
      <c r="S140" s="76">
        <f t="shared" si="92"/>
        <v>0</v>
      </c>
      <c r="T140" s="122"/>
    </row>
    <row r="141" spans="2:20" x14ac:dyDescent="0.25">
      <c r="B141" s="292"/>
      <c r="C141" s="291"/>
      <c r="D141" s="291"/>
      <c r="E141" s="63" t="s">
        <v>7</v>
      </c>
      <c r="F141" s="250">
        <f t="shared" si="91"/>
        <v>0</v>
      </c>
      <c r="G141" s="216">
        <v>0</v>
      </c>
      <c r="H141" s="217">
        <v>0</v>
      </c>
      <c r="I141" s="246">
        <v>0</v>
      </c>
      <c r="J141" s="225">
        <v>0</v>
      </c>
      <c r="K141" s="225">
        <v>0</v>
      </c>
      <c r="L141" s="225">
        <v>0</v>
      </c>
      <c r="M141" s="225">
        <v>0</v>
      </c>
      <c r="N141" s="75">
        <f>L141*103%</f>
        <v>0</v>
      </c>
      <c r="O141" s="76">
        <f>N141*102.7%</f>
        <v>0</v>
      </c>
      <c r="P141" s="76">
        <f t="shared" si="92"/>
        <v>0</v>
      </c>
      <c r="Q141" s="76">
        <f t="shared" si="92"/>
        <v>0</v>
      </c>
      <c r="R141" s="76">
        <f t="shared" si="92"/>
        <v>0</v>
      </c>
      <c r="S141" s="76">
        <f t="shared" si="92"/>
        <v>0</v>
      </c>
      <c r="T141" s="122"/>
    </row>
    <row r="142" spans="2:20" x14ac:dyDescent="0.25">
      <c r="B142" s="292"/>
      <c r="C142" s="291"/>
      <c r="D142" s="291"/>
      <c r="E142" s="63" t="s">
        <v>8</v>
      </c>
      <c r="F142" s="250">
        <f t="shared" si="91"/>
        <v>421.2</v>
      </c>
      <c r="G142" s="216">
        <v>35.1</v>
      </c>
      <c r="H142" s="217">
        <v>35.1</v>
      </c>
      <c r="I142" s="219">
        <v>35.1</v>
      </c>
      <c r="J142" s="225">
        <v>35.1</v>
      </c>
      <c r="K142" s="225">
        <v>35.1</v>
      </c>
      <c r="L142" s="225">
        <f>K142</f>
        <v>35.1</v>
      </c>
      <c r="M142" s="225">
        <f t="shared" ref="M142" si="93">N142+O142+P142+Q142+R142+S142</f>
        <v>210.6</v>
      </c>
      <c r="N142" s="75">
        <f>L142</f>
        <v>35.1</v>
      </c>
      <c r="O142" s="76">
        <f>N142</f>
        <v>35.1</v>
      </c>
      <c r="P142" s="76">
        <f>O142</f>
        <v>35.1</v>
      </c>
      <c r="Q142" s="76">
        <f>P142</f>
        <v>35.1</v>
      </c>
      <c r="R142" s="76">
        <f>Q142</f>
        <v>35.1</v>
      </c>
      <c r="S142" s="76">
        <f>R142</f>
        <v>35.1</v>
      </c>
      <c r="T142" s="122"/>
    </row>
    <row r="143" spans="2:20" ht="31.5" x14ac:dyDescent="0.25">
      <c r="B143" s="292"/>
      <c r="C143" s="291"/>
      <c r="D143" s="291"/>
      <c r="E143" s="63" t="s">
        <v>9</v>
      </c>
      <c r="F143" s="217">
        <f t="shared" si="91"/>
        <v>0</v>
      </c>
      <c r="G143" s="228">
        <v>0</v>
      </c>
      <c r="H143" s="217">
        <v>0</v>
      </c>
      <c r="I143" s="252">
        <v>0</v>
      </c>
      <c r="J143" s="225">
        <v>0</v>
      </c>
      <c r="K143" s="225">
        <v>0</v>
      </c>
      <c r="L143" s="225">
        <v>0</v>
      </c>
      <c r="M143" s="225">
        <v>0</v>
      </c>
      <c r="N143" s="75">
        <f>L143*102.9%</f>
        <v>0</v>
      </c>
      <c r="O143" s="76">
        <f>N143*102.7%</f>
        <v>0</v>
      </c>
      <c r="P143" s="76">
        <f t="shared" ref="P143:S145" si="94">O143*102.5%</f>
        <v>0</v>
      </c>
      <c r="Q143" s="76">
        <f t="shared" si="94"/>
        <v>0</v>
      </c>
      <c r="R143" s="76">
        <f t="shared" si="94"/>
        <v>0</v>
      </c>
      <c r="S143" s="76">
        <f t="shared" si="94"/>
        <v>0</v>
      </c>
      <c r="T143" s="122"/>
    </row>
    <row r="144" spans="2:20" x14ac:dyDescent="0.25">
      <c r="B144" s="292"/>
      <c r="C144" s="291"/>
      <c r="D144" s="291"/>
      <c r="E144" s="40" t="s">
        <v>262</v>
      </c>
      <c r="F144" s="250">
        <f t="shared" si="91"/>
        <v>0</v>
      </c>
      <c r="G144" s="228">
        <v>0</v>
      </c>
      <c r="H144" s="217">
        <v>0</v>
      </c>
      <c r="I144" s="246">
        <v>0</v>
      </c>
      <c r="J144" s="225">
        <v>0</v>
      </c>
      <c r="K144" s="225">
        <v>0</v>
      </c>
      <c r="L144" s="225">
        <v>0</v>
      </c>
      <c r="M144" s="225">
        <v>0</v>
      </c>
      <c r="N144" s="75">
        <f>L144*102.9%</f>
        <v>0</v>
      </c>
      <c r="O144" s="76">
        <f>N144*102.7%</f>
        <v>0</v>
      </c>
      <c r="P144" s="76">
        <f t="shared" si="94"/>
        <v>0</v>
      </c>
      <c r="Q144" s="76">
        <f t="shared" si="94"/>
        <v>0</v>
      </c>
      <c r="R144" s="76">
        <f t="shared" si="94"/>
        <v>0</v>
      </c>
      <c r="S144" s="76">
        <f t="shared" si="94"/>
        <v>0</v>
      </c>
      <c r="T144" s="122"/>
    </row>
    <row r="145" spans="2:20" ht="20.25" customHeight="1" x14ac:dyDescent="0.25">
      <c r="B145" s="292"/>
      <c r="C145" s="291"/>
      <c r="D145" s="291"/>
      <c r="E145" s="63" t="s">
        <v>24</v>
      </c>
      <c r="F145" s="250">
        <f t="shared" si="91"/>
        <v>0</v>
      </c>
      <c r="G145" s="228">
        <v>0</v>
      </c>
      <c r="H145" s="217">
        <v>0</v>
      </c>
      <c r="I145" s="246">
        <v>0</v>
      </c>
      <c r="J145" s="225">
        <v>0</v>
      </c>
      <c r="K145" s="225">
        <v>0</v>
      </c>
      <c r="L145" s="225">
        <v>0</v>
      </c>
      <c r="M145" s="225">
        <v>0</v>
      </c>
      <c r="N145" s="75">
        <f>L145*102.9%</f>
        <v>0</v>
      </c>
      <c r="O145" s="76">
        <f>N145*102.7%</f>
        <v>0</v>
      </c>
      <c r="P145" s="76">
        <f t="shared" si="94"/>
        <v>0</v>
      </c>
      <c r="Q145" s="76">
        <f t="shared" si="94"/>
        <v>0</v>
      </c>
      <c r="R145" s="76">
        <f t="shared" si="94"/>
        <v>0</v>
      </c>
      <c r="S145" s="76">
        <f t="shared" si="94"/>
        <v>0</v>
      </c>
      <c r="T145" s="122"/>
    </row>
    <row r="146" spans="2:20" ht="23.25" customHeight="1" x14ac:dyDescent="0.2">
      <c r="B146" s="292" t="s">
        <v>46</v>
      </c>
      <c r="C146" s="291" t="s">
        <v>218</v>
      </c>
      <c r="D146" s="291" t="s">
        <v>16</v>
      </c>
      <c r="E146" s="39" t="s">
        <v>34</v>
      </c>
      <c r="F146" s="222">
        <f t="shared" ref="F146:S146" si="95">F147+F148+F149+F150+F152</f>
        <v>3250</v>
      </c>
      <c r="G146" s="233">
        <f t="shared" si="95"/>
        <v>150</v>
      </c>
      <c r="H146" s="222">
        <f t="shared" si="95"/>
        <v>100</v>
      </c>
      <c r="I146" s="229">
        <f t="shared" si="95"/>
        <v>300</v>
      </c>
      <c r="J146" s="234">
        <f t="shared" si="95"/>
        <v>300</v>
      </c>
      <c r="K146" s="224">
        <f t="shared" si="95"/>
        <v>300</v>
      </c>
      <c r="L146" s="224">
        <f t="shared" si="95"/>
        <v>300</v>
      </c>
      <c r="M146" s="224">
        <f t="shared" si="95"/>
        <v>1800</v>
      </c>
      <c r="N146" s="74">
        <f t="shared" si="95"/>
        <v>300</v>
      </c>
      <c r="O146" s="73">
        <f t="shared" si="95"/>
        <v>300</v>
      </c>
      <c r="P146" s="73">
        <f t="shared" si="95"/>
        <v>300</v>
      </c>
      <c r="Q146" s="73">
        <f t="shared" si="95"/>
        <v>300</v>
      </c>
      <c r="R146" s="73">
        <f t="shared" si="95"/>
        <v>300</v>
      </c>
      <c r="S146" s="73">
        <f t="shared" si="95"/>
        <v>300</v>
      </c>
      <c r="T146" s="121"/>
    </row>
    <row r="147" spans="2:20" x14ac:dyDescent="0.25">
      <c r="B147" s="292"/>
      <c r="C147" s="291"/>
      <c r="D147" s="291"/>
      <c r="E147" s="63" t="s">
        <v>6</v>
      </c>
      <c r="F147" s="250">
        <f t="shared" ref="F147:F152" si="96">G147+H147+I147+J147+K147+L147+M147</f>
        <v>0</v>
      </c>
      <c r="G147" s="228">
        <v>0</v>
      </c>
      <c r="H147" s="217">
        <v>0</v>
      </c>
      <c r="I147" s="246">
        <v>0</v>
      </c>
      <c r="J147" s="225">
        <v>0</v>
      </c>
      <c r="K147" s="225">
        <v>0</v>
      </c>
      <c r="L147" s="225">
        <v>0</v>
      </c>
      <c r="M147" s="225">
        <v>0</v>
      </c>
      <c r="N147" s="75">
        <f>L147*103%</f>
        <v>0</v>
      </c>
      <c r="O147" s="76">
        <f>N147*102.7%</f>
        <v>0</v>
      </c>
      <c r="P147" s="76">
        <f t="shared" ref="P147:S148" si="97">O147*102.5%</f>
        <v>0</v>
      </c>
      <c r="Q147" s="76">
        <f t="shared" si="97"/>
        <v>0</v>
      </c>
      <c r="R147" s="76">
        <f t="shared" si="97"/>
        <v>0</v>
      </c>
      <c r="S147" s="76">
        <f t="shared" si="97"/>
        <v>0</v>
      </c>
      <c r="T147" s="122"/>
    </row>
    <row r="148" spans="2:20" x14ac:dyDescent="0.25">
      <c r="B148" s="292"/>
      <c r="C148" s="291"/>
      <c r="D148" s="291"/>
      <c r="E148" s="63" t="s">
        <v>7</v>
      </c>
      <c r="F148" s="250">
        <f t="shared" si="96"/>
        <v>0</v>
      </c>
      <c r="G148" s="228">
        <v>0</v>
      </c>
      <c r="H148" s="217">
        <v>0</v>
      </c>
      <c r="I148" s="246">
        <v>0</v>
      </c>
      <c r="J148" s="225">
        <v>0</v>
      </c>
      <c r="K148" s="225">
        <v>0</v>
      </c>
      <c r="L148" s="225">
        <v>0</v>
      </c>
      <c r="M148" s="225">
        <v>0</v>
      </c>
      <c r="N148" s="75">
        <f>L148*103%</f>
        <v>0</v>
      </c>
      <c r="O148" s="76">
        <f>N148*102.7%</f>
        <v>0</v>
      </c>
      <c r="P148" s="76">
        <f t="shared" si="97"/>
        <v>0</v>
      </c>
      <c r="Q148" s="76">
        <f t="shared" si="97"/>
        <v>0</v>
      </c>
      <c r="R148" s="76">
        <f t="shared" si="97"/>
        <v>0</v>
      </c>
      <c r="S148" s="76">
        <f t="shared" si="97"/>
        <v>0</v>
      </c>
      <c r="T148" s="122"/>
    </row>
    <row r="149" spans="2:20" x14ac:dyDescent="0.25">
      <c r="B149" s="292"/>
      <c r="C149" s="291"/>
      <c r="D149" s="291"/>
      <c r="E149" s="63" t="s">
        <v>8</v>
      </c>
      <c r="F149" s="250">
        <f t="shared" si="96"/>
        <v>3250</v>
      </c>
      <c r="G149" s="228">
        <v>150</v>
      </c>
      <c r="H149" s="217">
        <f>300-200</f>
        <v>100</v>
      </c>
      <c r="I149" s="219">
        <v>300</v>
      </c>
      <c r="J149" s="225">
        <v>300</v>
      </c>
      <c r="K149" s="225">
        <v>300</v>
      </c>
      <c r="L149" s="225">
        <f>K149</f>
        <v>300</v>
      </c>
      <c r="M149" s="225">
        <f t="shared" ref="M149" si="98">N149+O149+P149+Q149+R149+S149</f>
        <v>1800</v>
      </c>
      <c r="N149" s="75">
        <f>L149</f>
        <v>300</v>
      </c>
      <c r="O149" s="76">
        <f>N149</f>
        <v>300</v>
      </c>
      <c r="P149" s="76">
        <f>O149</f>
        <v>300</v>
      </c>
      <c r="Q149" s="76">
        <f>P149</f>
        <v>300</v>
      </c>
      <c r="R149" s="76">
        <f>Q149</f>
        <v>300</v>
      </c>
      <c r="S149" s="76">
        <f>R149</f>
        <v>300</v>
      </c>
      <c r="T149" s="122"/>
    </row>
    <row r="150" spans="2:20" ht="31.5" x14ac:dyDescent="0.25">
      <c r="B150" s="292"/>
      <c r="C150" s="291"/>
      <c r="D150" s="291"/>
      <c r="E150" s="63" t="s">
        <v>9</v>
      </c>
      <c r="F150" s="250">
        <f t="shared" si="96"/>
        <v>0</v>
      </c>
      <c r="G150" s="228">
        <v>0</v>
      </c>
      <c r="H150" s="217">
        <v>0</v>
      </c>
      <c r="I150" s="252">
        <v>0</v>
      </c>
      <c r="J150" s="225">
        <v>0</v>
      </c>
      <c r="K150" s="225">
        <v>0</v>
      </c>
      <c r="L150" s="225">
        <v>0</v>
      </c>
      <c r="M150" s="225">
        <v>0</v>
      </c>
      <c r="N150" s="75">
        <f>L150*102.9%</f>
        <v>0</v>
      </c>
      <c r="O150" s="76">
        <f>N150*102.7%</f>
        <v>0</v>
      </c>
      <c r="P150" s="76">
        <f t="shared" ref="P150:S152" si="99">O150*102.5%</f>
        <v>0</v>
      </c>
      <c r="Q150" s="76">
        <f t="shared" si="99"/>
        <v>0</v>
      </c>
      <c r="R150" s="76">
        <f t="shared" si="99"/>
        <v>0</v>
      </c>
      <c r="S150" s="76">
        <f t="shared" si="99"/>
        <v>0</v>
      </c>
      <c r="T150" s="122"/>
    </row>
    <row r="151" spans="2:20" x14ac:dyDescent="0.25">
      <c r="B151" s="292"/>
      <c r="C151" s="291"/>
      <c r="D151" s="291"/>
      <c r="E151" s="40" t="s">
        <v>262</v>
      </c>
      <c r="F151" s="250">
        <f t="shared" si="96"/>
        <v>0</v>
      </c>
      <c r="G151" s="228">
        <v>0</v>
      </c>
      <c r="H151" s="217">
        <v>0</v>
      </c>
      <c r="I151" s="246">
        <v>0</v>
      </c>
      <c r="J151" s="225">
        <v>0</v>
      </c>
      <c r="K151" s="225">
        <v>0</v>
      </c>
      <c r="L151" s="225">
        <v>0</v>
      </c>
      <c r="M151" s="225">
        <v>0</v>
      </c>
      <c r="N151" s="75">
        <f>L151*102.9%</f>
        <v>0</v>
      </c>
      <c r="O151" s="76">
        <f>N151*102.7%</f>
        <v>0</v>
      </c>
      <c r="P151" s="76">
        <f t="shared" si="99"/>
        <v>0</v>
      </c>
      <c r="Q151" s="76">
        <f t="shared" si="99"/>
        <v>0</v>
      </c>
      <c r="R151" s="76">
        <f t="shared" si="99"/>
        <v>0</v>
      </c>
      <c r="S151" s="76">
        <f t="shared" si="99"/>
        <v>0</v>
      </c>
      <c r="T151" s="122"/>
    </row>
    <row r="152" spans="2:20" x14ac:dyDescent="0.25">
      <c r="B152" s="292"/>
      <c r="C152" s="291"/>
      <c r="D152" s="291"/>
      <c r="E152" s="63" t="s">
        <v>24</v>
      </c>
      <c r="F152" s="250">
        <f t="shared" si="96"/>
        <v>0</v>
      </c>
      <c r="G152" s="228"/>
      <c r="H152" s="217">
        <v>0</v>
      </c>
      <c r="I152" s="246">
        <v>0</v>
      </c>
      <c r="J152" s="225">
        <v>0</v>
      </c>
      <c r="K152" s="225">
        <v>0</v>
      </c>
      <c r="L152" s="225">
        <v>0</v>
      </c>
      <c r="M152" s="225">
        <v>0</v>
      </c>
      <c r="N152" s="75">
        <f>L152*102.9%</f>
        <v>0</v>
      </c>
      <c r="O152" s="76">
        <f>N152*102.7%</f>
        <v>0</v>
      </c>
      <c r="P152" s="76">
        <f t="shared" si="99"/>
        <v>0</v>
      </c>
      <c r="Q152" s="76">
        <f t="shared" si="99"/>
        <v>0</v>
      </c>
      <c r="R152" s="76">
        <f t="shared" si="99"/>
        <v>0</v>
      </c>
      <c r="S152" s="76">
        <f t="shared" si="99"/>
        <v>0</v>
      </c>
      <c r="T152" s="122"/>
    </row>
    <row r="153" spans="2:20" ht="23.25" customHeight="1" x14ac:dyDescent="0.2">
      <c r="B153" s="291" t="s">
        <v>87</v>
      </c>
      <c r="C153" s="291"/>
      <c r="D153" s="291"/>
      <c r="E153" s="39" t="s">
        <v>34</v>
      </c>
      <c r="F153" s="222">
        <f t="shared" ref="F153:S153" si="100">F154+F155+F156+F157+F159</f>
        <v>3671.2</v>
      </c>
      <c r="G153" s="233">
        <f t="shared" si="100"/>
        <v>185.1</v>
      </c>
      <c r="H153" s="222">
        <f t="shared" si="100"/>
        <v>135.1</v>
      </c>
      <c r="I153" s="229">
        <f t="shared" si="100"/>
        <v>335.1</v>
      </c>
      <c r="J153" s="229">
        <f t="shared" si="100"/>
        <v>335.1</v>
      </c>
      <c r="K153" s="222">
        <f t="shared" si="100"/>
        <v>335.1</v>
      </c>
      <c r="L153" s="222">
        <f t="shared" si="100"/>
        <v>335.1</v>
      </c>
      <c r="M153" s="222">
        <f t="shared" si="100"/>
        <v>2010.6</v>
      </c>
      <c r="N153" s="74">
        <f t="shared" si="100"/>
        <v>335.1</v>
      </c>
      <c r="O153" s="80">
        <f t="shared" si="100"/>
        <v>335.1</v>
      </c>
      <c r="P153" s="80">
        <f t="shared" si="100"/>
        <v>335.1</v>
      </c>
      <c r="Q153" s="80">
        <f t="shared" si="100"/>
        <v>335.1</v>
      </c>
      <c r="R153" s="80">
        <f t="shared" si="100"/>
        <v>335.1</v>
      </c>
      <c r="S153" s="80">
        <f t="shared" si="100"/>
        <v>335.1</v>
      </c>
      <c r="T153" s="84"/>
    </row>
    <row r="154" spans="2:20" x14ac:dyDescent="0.2">
      <c r="B154" s="291"/>
      <c r="C154" s="291"/>
      <c r="D154" s="291"/>
      <c r="E154" s="41" t="s">
        <v>6</v>
      </c>
      <c r="F154" s="250">
        <f t="shared" ref="F154:F159" si="101">G154+H154+I154+J154+K154+L154+M154</f>
        <v>0</v>
      </c>
      <c r="G154" s="228">
        <f t="shared" ref="G154:K155" si="102">G140+G147</f>
        <v>0</v>
      </c>
      <c r="H154" s="217">
        <f t="shared" si="102"/>
        <v>0</v>
      </c>
      <c r="I154" s="226">
        <f t="shared" si="102"/>
        <v>0</v>
      </c>
      <c r="J154" s="226">
        <f t="shared" si="102"/>
        <v>0</v>
      </c>
      <c r="K154" s="217">
        <f t="shared" si="102"/>
        <v>0</v>
      </c>
      <c r="L154" s="217">
        <f>L140+L147</f>
        <v>0</v>
      </c>
      <c r="M154" s="225">
        <f t="shared" ref="M154:M159" si="103">N154+O154+P154+Q154+R154+S154</f>
        <v>0</v>
      </c>
      <c r="N154" s="85">
        <f t="shared" ref="N154:N159" si="104">L154</f>
        <v>0</v>
      </c>
      <c r="O154" s="67">
        <f t="shared" ref="O154:S155" si="105">O140+O147</f>
        <v>0</v>
      </c>
      <c r="P154" s="67">
        <f t="shared" si="105"/>
        <v>0</v>
      </c>
      <c r="Q154" s="67">
        <f t="shared" si="105"/>
        <v>0</v>
      </c>
      <c r="R154" s="67">
        <f t="shared" si="105"/>
        <v>0</v>
      </c>
      <c r="S154" s="67">
        <f t="shared" si="105"/>
        <v>0</v>
      </c>
      <c r="T154" s="207"/>
    </row>
    <row r="155" spans="2:20" x14ac:dyDescent="0.2">
      <c r="B155" s="291"/>
      <c r="C155" s="291"/>
      <c r="D155" s="291"/>
      <c r="E155" s="41" t="s">
        <v>7</v>
      </c>
      <c r="F155" s="250">
        <f t="shared" si="101"/>
        <v>0</v>
      </c>
      <c r="G155" s="228">
        <f t="shared" si="102"/>
        <v>0</v>
      </c>
      <c r="H155" s="217">
        <f t="shared" si="102"/>
        <v>0</v>
      </c>
      <c r="I155" s="226">
        <f t="shared" si="102"/>
        <v>0</v>
      </c>
      <c r="J155" s="226">
        <f t="shared" si="102"/>
        <v>0</v>
      </c>
      <c r="K155" s="217">
        <f t="shared" si="102"/>
        <v>0</v>
      </c>
      <c r="L155" s="217">
        <f>L141+L148</f>
        <v>0</v>
      </c>
      <c r="M155" s="225">
        <f>N155+O155+P155+Q155+R155+S155</f>
        <v>0</v>
      </c>
      <c r="N155" s="85">
        <f t="shared" si="104"/>
        <v>0</v>
      </c>
      <c r="O155" s="67">
        <f t="shared" si="105"/>
        <v>0</v>
      </c>
      <c r="P155" s="67">
        <f t="shared" si="105"/>
        <v>0</v>
      </c>
      <c r="Q155" s="67">
        <f t="shared" si="105"/>
        <v>0</v>
      </c>
      <c r="R155" s="67">
        <f t="shared" si="105"/>
        <v>0</v>
      </c>
      <c r="S155" s="67">
        <f t="shared" si="105"/>
        <v>0</v>
      </c>
      <c r="T155" s="207"/>
    </row>
    <row r="156" spans="2:20" x14ac:dyDescent="0.2">
      <c r="B156" s="291"/>
      <c r="C156" s="291"/>
      <c r="D156" s="291"/>
      <c r="E156" s="41" t="s">
        <v>8</v>
      </c>
      <c r="F156" s="250">
        <f t="shared" si="101"/>
        <v>3671.2</v>
      </c>
      <c r="G156" s="228">
        <f t="shared" ref="G156:L157" si="106">G149+G142</f>
        <v>185.1</v>
      </c>
      <c r="H156" s="217">
        <f t="shared" si="106"/>
        <v>135.1</v>
      </c>
      <c r="I156" s="226">
        <f t="shared" si="106"/>
        <v>335.1</v>
      </c>
      <c r="J156" s="226">
        <f t="shared" si="106"/>
        <v>335.1</v>
      </c>
      <c r="K156" s="217">
        <f t="shared" si="106"/>
        <v>335.1</v>
      </c>
      <c r="L156" s="217">
        <f t="shared" si="106"/>
        <v>335.1</v>
      </c>
      <c r="M156" s="225">
        <f>N156+O156+P156+Q156+R156+S156</f>
        <v>2010.6</v>
      </c>
      <c r="N156" s="85">
        <f t="shared" si="104"/>
        <v>335.1</v>
      </c>
      <c r="O156" s="67">
        <f t="shared" ref="O156:S157" si="107">O149+O142</f>
        <v>335.1</v>
      </c>
      <c r="P156" s="67">
        <f t="shared" si="107"/>
        <v>335.1</v>
      </c>
      <c r="Q156" s="67">
        <f t="shared" si="107"/>
        <v>335.1</v>
      </c>
      <c r="R156" s="67">
        <f t="shared" si="107"/>
        <v>335.1</v>
      </c>
      <c r="S156" s="67">
        <f t="shared" si="107"/>
        <v>335.1</v>
      </c>
      <c r="T156" s="207"/>
    </row>
    <row r="157" spans="2:20" ht="31.5" x14ac:dyDescent="0.2">
      <c r="B157" s="291"/>
      <c r="C157" s="291"/>
      <c r="D157" s="291"/>
      <c r="E157" s="41" t="s">
        <v>9</v>
      </c>
      <c r="F157" s="217">
        <f t="shared" si="101"/>
        <v>0</v>
      </c>
      <c r="G157" s="228">
        <f t="shared" si="106"/>
        <v>0</v>
      </c>
      <c r="H157" s="217">
        <f t="shared" si="106"/>
        <v>0</v>
      </c>
      <c r="I157" s="226">
        <f t="shared" si="106"/>
        <v>0</v>
      </c>
      <c r="J157" s="226">
        <f t="shared" si="106"/>
        <v>0</v>
      </c>
      <c r="K157" s="217">
        <f t="shared" si="106"/>
        <v>0</v>
      </c>
      <c r="L157" s="217">
        <f t="shared" si="106"/>
        <v>0</v>
      </c>
      <c r="M157" s="225">
        <f t="shared" si="103"/>
        <v>0</v>
      </c>
      <c r="N157" s="85">
        <f t="shared" si="104"/>
        <v>0</v>
      </c>
      <c r="O157" s="67">
        <f t="shared" si="107"/>
        <v>0</v>
      </c>
      <c r="P157" s="67">
        <f t="shared" si="107"/>
        <v>0</v>
      </c>
      <c r="Q157" s="67">
        <f t="shared" si="107"/>
        <v>0</v>
      </c>
      <c r="R157" s="67">
        <f t="shared" si="107"/>
        <v>0</v>
      </c>
      <c r="S157" s="67">
        <f t="shared" si="107"/>
        <v>0</v>
      </c>
      <c r="T157" s="207"/>
    </row>
    <row r="158" spans="2:20" x14ac:dyDescent="0.2">
      <c r="B158" s="291"/>
      <c r="C158" s="291"/>
      <c r="D158" s="291"/>
      <c r="E158" s="40" t="s">
        <v>262</v>
      </c>
      <c r="F158" s="250">
        <f t="shared" si="101"/>
        <v>0</v>
      </c>
      <c r="G158" s="228">
        <v>0</v>
      </c>
      <c r="H158" s="217">
        <v>0</v>
      </c>
      <c r="I158" s="226">
        <v>0</v>
      </c>
      <c r="J158" s="226">
        <v>0</v>
      </c>
      <c r="K158" s="217">
        <v>0</v>
      </c>
      <c r="L158" s="217">
        <v>0</v>
      </c>
      <c r="M158" s="225">
        <f t="shared" si="103"/>
        <v>0</v>
      </c>
      <c r="N158" s="85">
        <f t="shared" si="104"/>
        <v>0</v>
      </c>
      <c r="O158" s="67">
        <v>0</v>
      </c>
      <c r="P158" s="67">
        <v>0</v>
      </c>
      <c r="Q158" s="67">
        <v>0</v>
      </c>
      <c r="R158" s="67">
        <v>0</v>
      </c>
      <c r="S158" s="67">
        <v>0</v>
      </c>
      <c r="T158" s="207"/>
    </row>
    <row r="159" spans="2:20" x14ac:dyDescent="0.2">
      <c r="B159" s="291"/>
      <c r="C159" s="291"/>
      <c r="D159" s="291"/>
      <c r="E159" s="63" t="s">
        <v>24</v>
      </c>
      <c r="F159" s="250">
        <f t="shared" si="101"/>
        <v>0</v>
      </c>
      <c r="G159" s="228">
        <f t="shared" ref="G159:L159" si="108">G145+G152</f>
        <v>0</v>
      </c>
      <c r="H159" s="217">
        <f t="shared" si="108"/>
        <v>0</v>
      </c>
      <c r="I159" s="226">
        <f t="shared" si="108"/>
        <v>0</v>
      </c>
      <c r="J159" s="226">
        <f t="shared" si="108"/>
        <v>0</v>
      </c>
      <c r="K159" s="217">
        <f t="shared" si="108"/>
        <v>0</v>
      </c>
      <c r="L159" s="217">
        <f t="shared" si="108"/>
        <v>0</v>
      </c>
      <c r="M159" s="225">
        <f t="shared" si="103"/>
        <v>0</v>
      </c>
      <c r="N159" s="85">
        <f t="shared" si="104"/>
        <v>0</v>
      </c>
      <c r="O159" s="67">
        <f>O145+O152</f>
        <v>0</v>
      </c>
      <c r="P159" s="67">
        <f>P145+P152</f>
        <v>0</v>
      </c>
      <c r="Q159" s="67">
        <f>Q145+Q152</f>
        <v>0</v>
      </c>
      <c r="R159" s="67">
        <f>R145+R152</f>
        <v>0</v>
      </c>
      <c r="S159" s="67">
        <f>S145+S152</f>
        <v>0</v>
      </c>
      <c r="T159" s="207"/>
    </row>
    <row r="160" spans="2:20" ht="18" customHeight="1" x14ac:dyDescent="0.2">
      <c r="B160" s="305" t="s">
        <v>18</v>
      </c>
      <c r="C160" s="305"/>
      <c r="D160" s="305"/>
      <c r="E160" s="39" t="s">
        <v>34</v>
      </c>
      <c r="F160" s="222">
        <f>F161+F162+F163+F164+F166</f>
        <v>3742525.0540112779</v>
      </c>
      <c r="G160" s="233">
        <f t="shared" ref="G160:S160" si="109">G161+G162+G163+G164+G166</f>
        <v>290885.73590999999</v>
      </c>
      <c r="H160" s="222">
        <f t="shared" si="109"/>
        <v>241096.09822000001</v>
      </c>
      <c r="I160" s="229">
        <f>I161+I162+I163+I164+I166</f>
        <v>501423.99124000006</v>
      </c>
      <c r="J160" s="229">
        <f t="shared" ref="J160:K160" si="110">J161+J162+J163+J164+J166</f>
        <v>474002.37272868003</v>
      </c>
      <c r="K160" s="222">
        <f t="shared" si="110"/>
        <v>276755.92006597645</v>
      </c>
      <c r="L160" s="222">
        <f t="shared" si="109"/>
        <v>268311.37106545572</v>
      </c>
      <c r="M160" s="222">
        <f t="shared" si="109"/>
        <v>1690049.5647811659</v>
      </c>
      <c r="N160" s="74">
        <f t="shared" si="109"/>
        <v>272294.35212756391</v>
      </c>
      <c r="O160" s="80">
        <f t="shared" si="109"/>
        <v>276110.18532923819</v>
      </c>
      <c r="P160" s="80">
        <f t="shared" si="109"/>
        <v>279738.76004971913</v>
      </c>
      <c r="Q160" s="80">
        <f t="shared" si="109"/>
        <v>283458.04913821211</v>
      </c>
      <c r="R160" s="80">
        <f t="shared" si="109"/>
        <v>287270.32045391737</v>
      </c>
      <c r="S160" s="80">
        <f t="shared" si="109"/>
        <v>291177.8981225153</v>
      </c>
      <c r="T160" s="84"/>
    </row>
    <row r="161" spans="2:20" x14ac:dyDescent="0.2">
      <c r="B161" s="305"/>
      <c r="C161" s="305"/>
      <c r="D161" s="305"/>
      <c r="E161" s="262" t="s">
        <v>6</v>
      </c>
      <c r="F161" s="250">
        <f>G161+H161+I161+J161+K161+L161+M161</f>
        <v>0</v>
      </c>
      <c r="G161" s="233">
        <f>G68+G132+G154</f>
        <v>0</v>
      </c>
      <c r="H161" s="222">
        <f t="shared" ref="H161:H166" si="111">H68+H132+H154</f>
        <v>0</v>
      </c>
      <c r="I161" s="229">
        <f t="shared" ref="I161:S166" si="112">I68+I132+I154</f>
        <v>0</v>
      </c>
      <c r="J161" s="229">
        <f t="shared" si="112"/>
        <v>0</v>
      </c>
      <c r="K161" s="229">
        <f t="shared" si="112"/>
        <v>0</v>
      </c>
      <c r="L161" s="229">
        <f t="shared" si="112"/>
        <v>0</v>
      </c>
      <c r="M161" s="229">
        <f t="shared" si="112"/>
        <v>0</v>
      </c>
      <c r="N161" s="86">
        <f t="shared" si="112"/>
        <v>0</v>
      </c>
      <c r="O161" s="80">
        <f t="shared" si="112"/>
        <v>0</v>
      </c>
      <c r="P161" s="80">
        <f t="shared" si="112"/>
        <v>0</v>
      </c>
      <c r="Q161" s="80">
        <f t="shared" si="112"/>
        <v>0</v>
      </c>
      <c r="R161" s="80">
        <f t="shared" si="112"/>
        <v>0</v>
      </c>
      <c r="S161" s="80">
        <f t="shared" si="112"/>
        <v>0</v>
      </c>
      <c r="T161" s="84"/>
    </row>
    <row r="162" spans="2:20" ht="18.75" customHeight="1" x14ac:dyDescent="0.2">
      <c r="B162" s="305"/>
      <c r="C162" s="305"/>
      <c r="D162" s="305"/>
      <c r="E162" s="262" t="s">
        <v>7</v>
      </c>
      <c r="F162" s="250">
        <f t="shared" ref="F162:F166" si="113">G162+H162+I162+J162+K162+L162+M162</f>
        <v>2725.4</v>
      </c>
      <c r="G162" s="233">
        <f t="shared" ref="G162:M166" si="114">G69+G133+G155</f>
        <v>807.4</v>
      </c>
      <c r="H162" s="222">
        <f t="shared" si="111"/>
        <v>0</v>
      </c>
      <c r="I162" s="229">
        <f t="shared" si="112"/>
        <v>1264.0999999999999</v>
      </c>
      <c r="J162" s="229">
        <f t="shared" si="112"/>
        <v>188.5</v>
      </c>
      <c r="K162" s="229">
        <f t="shared" si="112"/>
        <v>465.40000000000003</v>
      </c>
      <c r="L162" s="229">
        <f t="shared" si="114"/>
        <v>0</v>
      </c>
      <c r="M162" s="229">
        <f t="shared" si="114"/>
        <v>0</v>
      </c>
      <c r="N162" s="86">
        <f t="shared" si="112"/>
        <v>0</v>
      </c>
      <c r="O162" s="80">
        <f t="shared" si="112"/>
        <v>0</v>
      </c>
      <c r="P162" s="80">
        <f t="shared" si="112"/>
        <v>0</v>
      </c>
      <c r="Q162" s="80">
        <f t="shared" si="112"/>
        <v>0</v>
      </c>
      <c r="R162" s="80">
        <f t="shared" si="112"/>
        <v>0</v>
      </c>
      <c r="S162" s="80">
        <f t="shared" si="112"/>
        <v>0</v>
      </c>
      <c r="T162" s="84"/>
    </row>
    <row r="163" spans="2:20" x14ac:dyDescent="0.2">
      <c r="B163" s="305"/>
      <c r="C163" s="305"/>
      <c r="D163" s="305"/>
      <c r="E163" s="262" t="s">
        <v>8</v>
      </c>
      <c r="F163" s="250">
        <f t="shared" si="113"/>
        <v>1944512.5380899999</v>
      </c>
      <c r="G163" s="233">
        <f t="shared" si="114"/>
        <v>290078.33590999997</v>
      </c>
      <c r="H163" s="222">
        <f t="shared" si="111"/>
        <v>241096.09822000001</v>
      </c>
      <c r="I163" s="229">
        <f t="shared" si="112"/>
        <v>219007.43088999999</v>
      </c>
      <c r="J163" s="229">
        <f t="shared" si="112"/>
        <v>138916.11175000001</v>
      </c>
      <c r="K163" s="229">
        <f t="shared" si="112"/>
        <v>138644.18575000003</v>
      </c>
      <c r="L163" s="229">
        <f t="shared" si="114"/>
        <v>130967.19651000001</v>
      </c>
      <c r="M163" s="229">
        <f t="shared" si="114"/>
        <v>785803.17905999999</v>
      </c>
      <c r="N163" s="86">
        <f t="shared" si="112"/>
        <v>130967.19651000001</v>
      </c>
      <c r="O163" s="80">
        <f t="shared" si="112"/>
        <v>130967.19651000001</v>
      </c>
      <c r="P163" s="80">
        <f t="shared" si="112"/>
        <v>130967.19651000001</v>
      </c>
      <c r="Q163" s="80">
        <f t="shared" si="112"/>
        <v>130967.19651000001</v>
      </c>
      <c r="R163" s="80">
        <f t="shared" si="112"/>
        <v>130967.19651000001</v>
      </c>
      <c r="S163" s="80">
        <f t="shared" si="112"/>
        <v>130967.19651000001</v>
      </c>
      <c r="T163" s="84"/>
    </row>
    <row r="164" spans="2:20" ht="31.5" x14ac:dyDescent="0.2">
      <c r="B164" s="305"/>
      <c r="C164" s="305"/>
      <c r="D164" s="305"/>
      <c r="E164" s="262" t="s">
        <v>9</v>
      </c>
      <c r="F164" s="250">
        <f>G164+H164+I164+J164+K164+L164+M164</f>
        <v>0</v>
      </c>
      <c r="G164" s="233">
        <f t="shared" si="114"/>
        <v>0</v>
      </c>
      <c r="H164" s="222">
        <f t="shared" si="111"/>
        <v>0</v>
      </c>
      <c r="I164" s="229">
        <f t="shared" si="112"/>
        <v>0</v>
      </c>
      <c r="J164" s="229">
        <f t="shared" si="112"/>
        <v>0</v>
      </c>
      <c r="K164" s="229">
        <f t="shared" si="112"/>
        <v>0</v>
      </c>
      <c r="L164" s="229">
        <f t="shared" si="114"/>
        <v>0</v>
      </c>
      <c r="M164" s="229">
        <f t="shared" si="114"/>
        <v>0</v>
      </c>
      <c r="N164" s="86">
        <f t="shared" si="112"/>
        <v>0</v>
      </c>
      <c r="O164" s="80">
        <f t="shared" si="112"/>
        <v>0</v>
      </c>
      <c r="P164" s="80">
        <f t="shared" si="112"/>
        <v>0</v>
      </c>
      <c r="Q164" s="80">
        <f t="shared" si="112"/>
        <v>0</v>
      </c>
      <c r="R164" s="80">
        <f t="shared" si="112"/>
        <v>0</v>
      </c>
      <c r="S164" s="80">
        <f t="shared" si="112"/>
        <v>0</v>
      </c>
      <c r="T164" s="84"/>
    </row>
    <row r="165" spans="2:20" x14ac:dyDescent="0.2">
      <c r="B165" s="305"/>
      <c r="C165" s="305"/>
      <c r="D165" s="305"/>
      <c r="E165" s="39" t="s">
        <v>262</v>
      </c>
      <c r="F165" s="250">
        <f t="shared" si="113"/>
        <v>0</v>
      </c>
      <c r="G165" s="233">
        <f t="shared" si="114"/>
        <v>0</v>
      </c>
      <c r="H165" s="222">
        <f t="shared" si="111"/>
        <v>0</v>
      </c>
      <c r="I165" s="229">
        <f t="shared" si="112"/>
        <v>0</v>
      </c>
      <c r="J165" s="229">
        <f t="shared" si="112"/>
        <v>0</v>
      </c>
      <c r="K165" s="229">
        <f t="shared" si="112"/>
        <v>0</v>
      </c>
      <c r="L165" s="229">
        <f t="shared" si="114"/>
        <v>0</v>
      </c>
      <c r="M165" s="229">
        <f t="shared" si="114"/>
        <v>0</v>
      </c>
      <c r="N165" s="86">
        <v>0</v>
      </c>
      <c r="O165" s="80">
        <v>0</v>
      </c>
      <c r="P165" s="80">
        <v>0</v>
      </c>
      <c r="Q165" s="80">
        <v>0</v>
      </c>
      <c r="R165" s="80">
        <v>0</v>
      </c>
      <c r="S165" s="80">
        <v>0</v>
      </c>
      <c r="T165" s="84"/>
    </row>
    <row r="166" spans="2:20" x14ac:dyDescent="0.2">
      <c r="B166" s="305"/>
      <c r="C166" s="305"/>
      <c r="D166" s="305"/>
      <c r="E166" s="263" t="s">
        <v>24</v>
      </c>
      <c r="F166" s="250">
        <f t="shared" si="113"/>
        <v>1795287.115921278</v>
      </c>
      <c r="G166" s="233">
        <f t="shared" si="114"/>
        <v>0</v>
      </c>
      <c r="H166" s="222">
        <f t="shared" si="111"/>
        <v>0</v>
      </c>
      <c r="I166" s="229">
        <f t="shared" si="112"/>
        <v>281152.46035000007</v>
      </c>
      <c r="J166" s="229">
        <f t="shared" si="112"/>
        <v>334897.76097867999</v>
      </c>
      <c r="K166" s="229">
        <f t="shared" si="112"/>
        <v>137646.33431597642</v>
      </c>
      <c r="L166" s="229">
        <f t="shared" si="114"/>
        <v>137344.17455545568</v>
      </c>
      <c r="M166" s="229">
        <f t="shared" si="114"/>
        <v>904246.38572116592</v>
      </c>
      <c r="N166" s="86">
        <f>N73+N137+N159</f>
        <v>141327.15561756393</v>
      </c>
      <c r="O166" s="80">
        <f>O73+O137+O159</f>
        <v>145142.98881923815</v>
      </c>
      <c r="P166" s="80">
        <f>P73+P137+P159</f>
        <v>148771.56353971909</v>
      </c>
      <c r="Q166" s="80">
        <f>Q73+Q137+Q159</f>
        <v>152490.8526282121</v>
      </c>
      <c r="R166" s="80">
        <f>R73+R137+R159</f>
        <v>156303.12394391737</v>
      </c>
      <c r="S166" s="80">
        <f>S73+S137+S159+0.00044</f>
        <v>160210.70161251526</v>
      </c>
      <c r="T166" s="84"/>
    </row>
    <row r="167" spans="2:20" ht="15.75" customHeight="1" x14ac:dyDescent="0.25">
      <c r="B167" s="303" t="s">
        <v>19</v>
      </c>
      <c r="C167" s="303"/>
      <c r="D167" s="303"/>
      <c r="E167" s="62"/>
      <c r="F167" s="222"/>
      <c r="G167" s="233"/>
      <c r="H167" s="222"/>
      <c r="I167" s="249"/>
      <c r="J167" s="249"/>
      <c r="K167" s="246"/>
      <c r="L167" s="246"/>
      <c r="M167" s="246"/>
      <c r="N167" s="87"/>
      <c r="O167" s="64"/>
      <c r="P167" s="64"/>
      <c r="Q167" s="64"/>
      <c r="R167" s="64"/>
      <c r="S167" s="64"/>
      <c r="T167" s="64"/>
    </row>
    <row r="168" spans="2:20" ht="20.25" customHeight="1" x14ac:dyDescent="0.2">
      <c r="B168" s="291" t="s">
        <v>20</v>
      </c>
      <c r="C168" s="291"/>
      <c r="D168" s="291"/>
      <c r="E168" s="39" t="s">
        <v>34</v>
      </c>
      <c r="F168" s="222">
        <f>F169+F170+F171+F174</f>
        <v>523769.80000000005</v>
      </c>
      <c r="G168" s="233">
        <f>G169+G170+G171+G174</f>
        <v>88918</v>
      </c>
      <c r="H168" s="222">
        <f>H169+H170+H171+H174</f>
        <v>58193.490019999997</v>
      </c>
      <c r="I168" s="229">
        <f t="shared" ref="I168:K168" si="115">I169+I170+I171+I172+I174</f>
        <v>176369.90998</v>
      </c>
      <c r="J168" s="229">
        <f t="shared" si="115"/>
        <v>200288.4</v>
      </c>
      <c r="K168" s="222">
        <f t="shared" si="115"/>
        <v>0</v>
      </c>
      <c r="L168" s="222">
        <f t="shared" ref="L168:S168" si="116">L169+L170+L171+L172+L174</f>
        <v>0</v>
      </c>
      <c r="M168" s="222">
        <f t="shared" si="116"/>
        <v>0</v>
      </c>
      <c r="N168" s="74">
        <f t="shared" si="116"/>
        <v>0</v>
      </c>
      <c r="O168" s="73">
        <f t="shared" si="116"/>
        <v>0</v>
      </c>
      <c r="P168" s="73">
        <f t="shared" si="116"/>
        <v>0</v>
      </c>
      <c r="Q168" s="73">
        <f t="shared" si="116"/>
        <v>0</v>
      </c>
      <c r="R168" s="73">
        <f t="shared" si="116"/>
        <v>0</v>
      </c>
      <c r="S168" s="73">
        <f t="shared" si="116"/>
        <v>0</v>
      </c>
      <c r="T168" s="121"/>
    </row>
    <row r="169" spans="2:20" x14ac:dyDescent="0.2">
      <c r="B169" s="291"/>
      <c r="C169" s="291"/>
      <c r="D169" s="291"/>
      <c r="E169" s="41" t="s">
        <v>6</v>
      </c>
      <c r="F169" s="250">
        <f t="shared" ref="F169:F174" si="117">G169+H169+I169+J169+K169+L169+M169</f>
        <v>0</v>
      </c>
      <c r="G169" s="228">
        <f>G26</f>
        <v>0</v>
      </c>
      <c r="H169" s="217">
        <f t="shared" ref="H169:H174" si="118">H26</f>
        <v>0</v>
      </c>
      <c r="I169" s="226">
        <f t="shared" ref="I169:S174" si="119">I26</f>
        <v>0</v>
      </c>
      <c r="J169" s="226">
        <f t="shared" si="119"/>
        <v>0</v>
      </c>
      <c r="K169" s="226">
        <f t="shared" si="119"/>
        <v>0</v>
      </c>
      <c r="L169" s="226">
        <f t="shared" si="119"/>
        <v>0</v>
      </c>
      <c r="M169" s="226">
        <f t="shared" si="119"/>
        <v>0</v>
      </c>
      <c r="N169" s="68">
        <f t="shared" si="119"/>
        <v>0</v>
      </c>
      <c r="O169" s="68">
        <f t="shared" si="119"/>
        <v>0</v>
      </c>
      <c r="P169" s="68">
        <f t="shared" si="119"/>
        <v>0</v>
      </c>
      <c r="Q169" s="68">
        <f t="shared" si="119"/>
        <v>0</v>
      </c>
      <c r="R169" s="68">
        <f t="shared" si="119"/>
        <v>0</v>
      </c>
      <c r="S169" s="68">
        <f t="shared" si="119"/>
        <v>0</v>
      </c>
      <c r="T169" s="123"/>
    </row>
    <row r="170" spans="2:20" x14ac:dyDescent="0.2">
      <c r="B170" s="291"/>
      <c r="C170" s="291"/>
      <c r="D170" s="291"/>
      <c r="E170" s="41" t="s">
        <v>7</v>
      </c>
      <c r="F170" s="250">
        <f t="shared" si="117"/>
        <v>0</v>
      </c>
      <c r="G170" s="228">
        <f t="shared" ref="G170:G174" si="120">G27</f>
        <v>0</v>
      </c>
      <c r="H170" s="217">
        <f t="shared" si="118"/>
        <v>0</v>
      </c>
      <c r="I170" s="226">
        <f t="shared" si="119"/>
        <v>0</v>
      </c>
      <c r="J170" s="226">
        <f t="shared" si="119"/>
        <v>0</v>
      </c>
      <c r="K170" s="226">
        <f t="shared" si="119"/>
        <v>0</v>
      </c>
      <c r="L170" s="226">
        <f t="shared" si="119"/>
        <v>0</v>
      </c>
      <c r="M170" s="226">
        <f t="shared" si="119"/>
        <v>0</v>
      </c>
      <c r="N170" s="68">
        <f t="shared" si="119"/>
        <v>0</v>
      </c>
      <c r="O170" s="68">
        <f t="shared" si="119"/>
        <v>0</v>
      </c>
      <c r="P170" s="68">
        <f t="shared" si="119"/>
        <v>0</v>
      </c>
      <c r="Q170" s="68">
        <f t="shared" si="119"/>
        <v>0</v>
      </c>
      <c r="R170" s="68">
        <f t="shared" si="119"/>
        <v>0</v>
      </c>
      <c r="S170" s="68">
        <f t="shared" si="119"/>
        <v>0</v>
      </c>
      <c r="T170" s="123"/>
    </row>
    <row r="171" spans="2:20" x14ac:dyDescent="0.2">
      <c r="B171" s="291"/>
      <c r="C171" s="291"/>
      <c r="D171" s="291"/>
      <c r="E171" s="41" t="s">
        <v>8</v>
      </c>
      <c r="F171" s="250">
        <f t="shared" si="117"/>
        <v>147111.49002</v>
      </c>
      <c r="G171" s="228">
        <f t="shared" si="120"/>
        <v>88918</v>
      </c>
      <c r="H171" s="217">
        <f t="shared" si="118"/>
        <v>58193.490019999997</v>
      </c>
      <c r="I171" s="226">
        <f t="shared" si="119"/>
        <v>0</v>
      </c>
      <c r="J171" s="226">
        <f t="shared" si="119"/>
        <v>0</v>
      </c>
      <c r="K171" s="226">
        <f t="shared" si="119"/>
        <v>0</v>
      </c>
      <c r="L171" s="226">
        <f t="shared" si="119"/>
        <v>0</v>
      </c>
      <c r="M171" s="226">
        <f t="shared" si="119"/>
        <v>0</v>
      </c>
      <c r="N171" s="68">
        <f t="shared" si="119"/>
        <v>0</v>
      </c>
      <c r="O171" s="68">
        <f t="shared" si="119"/>
        <v>0</v>
      </c>
      <c r="P171" s="68">
        <f t="shared" si="119"/>
        <v>0</v>
      </c>
      <c r="Q171" s="68">
        <f t="shared" si="119"/>
        <v>0</v>
      </c>
      <c r="R171" s="68">
        <f t="shared" si="119"/>
        <v>0</v>
      </c>
      <c r="S171" s="68">
        <f t="shared" si="119"/>
        <v>0</v>
      </c>
      <c r="T171" s="123"/>
    </row>
    <row r="172" spans="2:20" ht="31.5" x14ac:dyDescent="0.2">
      <c r="B172" s="291"/>
      <c r="C172" s="291"/>
      <c r="D172" s="291"/>
      <c r="E172" s="41" t="s">
        <v>9</v>
      </c>
      <c r="F172" s="217">
        <f t="shared" si="117"/>
        <v>0</v>
      </c>
      <c r="G172" s="228">
        <f t="shared" si="120"/>
        <v>0</v>
      </c>
      <c r="H172" s="217">
        <f t="shared" si="118"/>
        <v>0</v>
      </c>
      <c r="I172" s="226">
        <f t="shared" si="119"/>
        <v>0</v>
      </c>
      <c r="J172" s="226">
        <f t="shared" si="119"/>
        <v>0</v>
      </c>
      <c r="K172" s="226">
        <f t="shared" si="119"/>
        <v>0</v>
      </c>
      <c r="L172" s="226">
        <f t="shared" si="119"/>
        <v>0</v>
      </c>
      <c r="M172" s="226">
        <f t="shared" si="119"/>
        <v>0</v>
      </c>
      <c r="N172" s="68">
        <f t="shared" si="119"/>
        <v>0</v>
      </c>
      <c r="O172" s="68">
        <f t="shared" si="119"/>
        <v>0</v>
      </c>
      <c r="P172" s="68">
        <f t="shared" si="119"/>
        <v>0</v>
      </c>
      <c r="Q172" s="68">
        <f t="shared" si="119"/>
        <v>0</v>
      </c>
      <c r="R172" s="68">
        <f t="shared" si="119"/>
        <v>0</v>
      </c>
      <c r="S172" s="68">
        <f t="shared" si="119"/>
        <v>0</v>
      </c>
      <c r="T172" s="123"/>
    </row>
    <row r="173" spans="2:20" x14ac:dyDescent="0.2">
      <c r="B173" s="291"/>
      <c r="C173" s="291"/>
      <c r="D173" s="291"/>
      <c r="E173" s="40" t="s">
        <v>262</v>
      </c>
      <c r="F173" s="250">
        <f t="shared" si="117"/>
        <v>0</v>
      </c>
      <c r="G173" s="228">
        <f t="shared" si="120"/>
        <v>0</v>
      </c>
      <c r="H173" s="217">
        <f t="shared" si="118"/>
        <v>0</v>
      </c>
      <c r="I173" s="226">
        <f t="shared" si="119"/>
        <v>0</v>
      </c>
      <c r="J173" s="226">
        <f t="shared" si="119"/>
        <v>0</v>
      </c>
      <c r="K173" s="226">
        <f t="shared" si="119"/>
        <v>0</v>
      </c>
      <c r="L173" s="226">
        <f t="shared" si="119"/>
        <v>0</v>
      </c>
      <c r="M173" s="226">
        <f t="shared" si="119"/>
        <v>0</v>
      </c>
      <c r="N173" s="68">
        <f t="shared" si="119"/>
        <v>0</v>
      </c>
      <c r="O173" s="68">
        <f t="shared" si="119"/>
        <v>0</v>
      </c>
      <c r="P173" s="68">
        <f t="shared" si="119"/>
        <v>0</v>
      </c>
      <c r="Q173" s="68">
        <f t="shared" si="119"/>
        <v>0</v>
      </c>
      <c r="R173" s="68">
        <f t="shared" si="119"/>
        <v>0</v>
      </c>
      <c r="S173" s="68">
        <f t="shared" si="119"/>
        <v>0</v>
      </c>
      <c r="T173" s="123"/>
    </row>
    <row r="174" spans="2:20" x14ac:dyDescent="0.2">
      <c r="B174" s="291"/>
      <c r="C174" s="291"/>
      <c r="D174" s="291"/>
      <c r="E174" s="63" t="s">
        <v>24</v>
      </c>
      <c r="F174" s="250">
        <f t="shared" si="117"/>
        <v>376658.30998000002</v>
      </c>
      <c r="G174" s="228">
        <f t="shared" si="120"/>
        <v>0</v>
      </c>
      <c r="H174" s="217">
        <f t="shared" si="118"/>
        <v>0</v>
      </c>
      <c r="I174" s="226">
        <f t="shared" si="119"/>
        <v>176369.90998</v>
      </c>
      <c r="J174" s="226">
        <f t="shared" si="119"/>
        <v>200288.4</v>
      </c>
      <c r="K174" s="226">
        <f t="shared" si="119"/>
        <v>0</v>
      </c>
      <c r="L174" s="226">
        <f t="shared" si="119"/>
        <v>0</v>
      </c>
      <c r="M174" s="226">
        <f t="shared" si="119"/>
        <v>0</v>
      </c>
      <c r="N174" s="68">
        <f t="shared" si="119"/>
        <v>0</v>
      </c>
      <c r="O174" s="68">
        <f t="shared" si="119"/>
        <v>0</v>
      </c>
      <c r="P174" s="68">
        <f t="shared" si="119"/>
        <v>0</v>
      </c>
      <c r="Q174" s="68">
        <f t="shared" si="119"/>
        <v>0</v>
      </c>
      <c r="R174" s="68">
        <f t="shared" si="119"/>
        <v>0</v>
      </c>
      <c r="S174" s="68">
        <f t="shared" si="119"/>
        <v>0</v>
      </c>
      <c r="T174" s="123"/>
    </row>
    <row r="175" spans="2:20" ht="21" customHeight="1" x14ac:dyDescent="0.2">
      <c r="B175" s="291" t="s">
        <v>21</v>
      </c>
      <c r="C175" s="291"/>
      <c r="D175" s="291"/>
      <c r="E175" s="39" t="s">
        <v>34</v>
      </c>
      <c r="F175" s="222">
        <f t="shared" ref="F175:S175" si="121">F176+F177+F178+F179+F181</f>
        <v>3218755.254011278</v>
      </c>
      <c r="G175" s="233">
        <f t="shared" si="121"/>
        <v>201967.73590999996</v>
      </c>
      <c r="H175" s="222">
        <f t="shared" si="121"/>
        <v>182902.60820000002</v>
      </c>
      <c r="I175" s="229">
        <f t="shared" si="121"/>
        <v>325054.08126000006</v>
      </c>
      <c r="J175" s="229">
        <f t="shared" si="121"/>
        <v>273713.97272868</v>
      </c>
      <c r="K175" s="222">
        <f t="shared" si="121"/>
        <v>276755.92006597645</v>
      </c>
      <c r="L175" s="222">
        <f t="shared" si="121"/>
        <v>268311.37106545572</v>
      </c>
      <c r="M175" s="222">
        <f t="shared" si="121"/>
        <v>1690049.5647811659</v>
      </c>
      <c r="N175" s="74">
        <f t="shared" si="121"/>
        <v>272294.35212756391</v>
      </c>
      <c r="O175" s="73">
        <f t="shared" si="121"/>
        <v>276110.18532923819</v>
      </c>
      <c r="P175" s="73">
        <f t="shared" si="121"/>
        <v>279738.76004971913</v>
      </c>
      <c r="Q175" s="73">
        <f t="shared" si="121"/>
        <v>283458.04913821211</v>
      </c>
      <c r="R175" s="73">
        <f t="shared" si="121"/>
        <v>287270.32045391737</v>
      </c>
      <c r="S175" s="73">
        <f t="shared" si="121"/>
        <v>291177.8981225153</v>
      </c>
      <c r="T175" s="121"/>
    </row>
    <row r="176" spans="2:20" x14ac:dyDescent="0.2">
      <c r="B176" s="291"/>
      <c r="C176" s="291"/>
      <c r="D176" s="291"/>
      <c r="E176" s="41" t="s">
        <v>6</v>
      </c>
      <c r="F176" s="250">
        <f t="shared" ref="F176:F179" si="122">G176+H176+I176+J176+K176+L176+M176</f>
        <v>0</v>
      </c>
      <c r="G176" s="228">
        <f t="shared" ref="G176:S179" si="123">G161-G169</f>
        <v>0</v>
      </c>
      <c r="H176" s="217">
        <f t="shared" si="123"/>
        <v>0</v>
      </c>
      <c r="I176" s="226">
        <f t="shared" si="123"/>
        <v>0</v>
      </c>
      <c r="J176" s="226">
        <f t="shared" si="123"/>
        <v>0</v>
      </c>
      <c r="K176" s="217">
        <f t="shared" si="123"/>
        <v>0</v>
      </c>
      <c r="L176" s="217">
        <f t="shared" si="123"/>
        <v>0</v>
      </c>
      <c r="M176" s="217">
        <f t="shared" si="123"/>
        <v>0</v>
      </c>
      <c r="N176" s="65">
        <f t="shared" si="123"/>
        <v>0</v>
      </c>
      <c r="O176" s="65">
        <f t="shared" si="123"/>
        <v>0</v>
      </c>
      <c r="P176" s="65">
        <f t="shared" si="123"/>
        <v>0</v>
      </c>
      <c r="Q176" s="65">
        <f t="shared" si="123"/>
        <v>0</v>
      </c>
      <c r="R176" s="65">
        <f t="shared" si="123"/>
        <v>0</v>
      </c>
      <c r="S176" s="88">
        <f t="shared" si="123"/>
        <v>0</v>
      </c>
      <c r="T176" s="124"/>
    </row>
    <row r="177" spans="2:20" x14ac:dyDescent="0.2">
      <c r="B177" s="291"/>
      <c r="C177" s="291"/>
      <c r="D177" s="291"/>
      <c r="E177" s="41" t="s">
        <v>7</v>
      </c>
      <c r="F177" s="250">
        <f t="shared" si="122"/>
        <v>2725.4</v>
      </c>
      <c r="G177" s="228">
        <f>G162-G170</f>
        <v>807.4</v>
      </c>
      <c r="H177" s="217">
        <f t="shared" si="123"/>
        <v>0</v>
      </c>
      <c r="I177" s="226">
        <f t="shared" si="123"/>
        <v>1264.0999999999999</v>
      </c>
      <c r="J177" s="226">
        <f t="shared" si="123"/>
        <v>188.5</v>
      </c>
      <c r="K177" s="217">
        <f t="shared" si="123"/>
        <v>465.40000000000003</v>
      </c>
      <c r="L177" s="217">
        <f t="shared" si="123"/>
        <v>0</v>
      </c>
      <c r="M177" s="217">
        <f t="shared" si="123"/>
        <v>0</v>
      </c>
      <c r="N177" s="65">
        <f t="shared" si="123"/>
        <v>0</v>
      </c>
      <c r="O177" s="65">
        <f t="shared" si="123"/>
        <v>0</v>
      </c>
      <c r="P177" s="65">
        <f t="shared" si="123"/>
        <v>0</v>
      </c>
      <c r="Q177" s="65">
        <f t="shared" si="123"/>
        <v>0</v>
      </c>
      <c r="R177" s="65">
        <f t="shared" si="123"/>
        <v>0</v>
      </c>
      <c r="S177" s="88">
        <f t="shared" si="123"/>
        <v>0</v>
      </c>
      <c r="T177" s="124"/>
    </row>
    <row r="178" spans="2:20" x14ac:dyDescent="0.2">
      <c r="B178" s="291"/>
      <c r="C178" s="291"/>
      <c r="D178" s="291"/>
      <c r="E178" s="41" t="s">
        <v>8</v>
      </c>
      <c r="F178" s="250">
        <f t="shared" si="122"/>
        <v>1797401.04807</v>
      </c>
      <c r="G178" s="216">
        <f t="shared" si="123"/>
        <v>201160.33590999997</v>
      </c>
      <c r="H178" s="217">
        <f t="shared" si="123"/>
        <v>182902.60820000002</v>
      </c>
      <c r="I178" s="217">
        <f t="shared" si="123"/>
        <v>219007.43088999999</v>
      </c>
      <c r="J178" s="217">
        <f t="shared" si="123"/>
        <v>138916.11175000001</v>
      </c>
      <c r="K178" s="217">
        <f t="shared" si="123"/>
        <v>138644.18575000003</v>
      </c>
      <c r="L178" s="217">
        <f t="shared" si="123"/>
        <v>130967.19651000001</v>
      </c>
      <c r="M178" s="217">
        <f t="shared" si="123"/>
        <v>785803.17905999999</v>
      </c>
      <c r="N178" s="65">
        <f t="shared" si="123"/>
        <v>130967.19651000001</v>
      </c>
      <c r="O178" s="65">
        <f t="shared" si="123"/>
        <v>130967.19651000001</v>
      </c>
      <c r="P178" s="65">
        <f t="shared" si="123"/>
        <v>130967.19651000001</v>
      </c>
      <c r="Q178" s="65">
        <f t="shared" si="123"/>
        <v>130967.19651000001</v>
      </c>
      <c r="R178" s="65">
        <f t="shared" si="123"/>
        <v>130967.19651000001</v>
      </c>
      <c r="S178" s="88">
        <f t="shared" si="123"/>
        <v>130967.19651000001</v>
      </c>
      <c r="T178" s="124"/>
    </row>
    <row r="179" spans="2:20" ht="31.5" x14ac:dyDescent="0.2">
      <c r="B179" s="291"/>
      <c r="C179" s="291"/>
      <c r="D179" s="291"/>
      <c r="E179" s="41" t="s">
        <v>9</v>
      </c>
      <c r="F179" s="217">
        <f t="shared" si="122"/>
        <v>0</v>
      </c>
      <c r="G179" s="216">
        <f t="shared" si="123"/>
        <v>0</v>
      </c>
      <c r="H179" s="217">
        <f t="shared" si="123"/>
        <v>0</v>
      </c>
      <c r="I179" s="217">
        <f t="shared" si="123"/>
        <v>0</v>
      </c>
      <c r="J179" s="217">
        <f t="shared" si="123"/>
        <v>0</v>
      </c>
      <c r="K179" s="217">
        <f t="shared" si="123"/>
        <v>0</v>
      </c>
      <c r="L179" s="217">
        <f t="shared" si="123"/>
        <v>0</v>
      </c>
      <c r="M179" s="217">
        <f t="shared" si="123"/>
        <v>0</v>
      </c>
      <c r="N179" s="65">
        <f t="shared" si="123"/>
        <v>0</v>
      </c>
      <c r="O179" s="65">
        <f t="shared" si="123"/>
        <v>0</v>
      </c>
      <c r="P179" s="65">
        <f t="shared" si="123"/>
        <v>0</v>
      </c>
      <c r="Q179" s="65">
        <f t="shared" si="123"/>
        <v>0</v>
      </c>
      <c r="R179" s="65">
        <f t="shared" si="123"/>
        <v>0</v>
      </c>
      <c r="S179" s="88">
        <f t="shared" si="123"/>
        <v>0</v>
      </c>
      <c r="T179" s="124"/>
    </row>
    <row r="180" spans="2:20" x14ac:dyDescent="0.2">
      <c r="B180" s="291"/>
      <c r="C180" s="291"/>
      <c r="D180" s="291"/>
      <c r="E180" s="40" t="s">
        <v>262</v>
      </c>
      <c r="F180" s="250">
        <f>G180+H180+I180+J180+K180+L180+M180</f>
        <v>0</v>
      </c>
      <c r="G180" s="216">
        <v>0</v>
      </c>
      <c r="H180" s="217">
        <v>0</v>
      </c>
      <c r="I180" s="217">
        <v>0</v>
      </c>
      <c r="J180" s="217">
        <v>0</v>
      </c>
      <c r="K180" s="217">
        <v>0</v>
      </c>
      <c r="L180" s="217">
        <v>0</v>
      </c>
      <c r="M180" s="217">
        <v>0</v>
      </c>
      <c r="N180" s="65">
        <v>0</v>
      </c>
      <c r="O180" s="65">
        <v>0</v>
      </c>
      <c r="P180" s="65">
        <v>0</v>
      </c>
      <c r="Q180" s="65">
        <v>0</v>
      </c>
      <c r="R180" s="65">
        <v>0</v>
      </c>
      <c r="S180" s="88">
        <v>0</v>
      </c>
      <c r="T180" s="124"/>
    </row>
    <row r="181" spans="2:20" x14ac:dyDescent="0.2">
      <c r="B181" s="291"/>
      <c r="C181" s="291"/>
      <c r="D181" s="291"/>
      <c r="E181" s="63" t="s">
        <v>24</v>
      </c>
      <c r="F181" s="250">
        <f>G181+H181+I181+J181+K181+L181+M181</f>
        <v>1418628.8059412781</v>
      </c>
      <c r="G181" s="216">
        <f t="shared" ref="G181:S181" si="124">G166-G174</f>
        <v>0</v>
      </c>
      <c r="H181" s="217">
        <f t="shared" si="124"/>
        <v>0</v>
      </c>
      <c r="I181" s="217">
        <f t="shared" si="124"/>
        <v>104782.55037000007</v>
      </c>
      <c r="J181" s="217">
        <f t="shared" si="124"/>
        <v>134609.36097867999</v>
      </c>
      <c r="K181" s="217">
        <f t="shared" si="124"/>
        <v>137646.33431597642</v>
      </c>
      <c r="L181" s="217">
        <f t="shared" si="124"/>
        <v>137344.17455545568</v>
      </c>
      <c r="M181" s="217">
        <f t="shared" si="124"/>
        <v>904246.38572116592</v>
      </c>
      <c r="N181" s="65">
        <f t="shared" si="124"/>
        <v>141327.15561756393</v>
      </c>
      <c r="O181" s="65">
        <f t="shared" si="124"/>
        <v>145142.98881923815</v>
      </c>
      <c r="P181" s="65">
        <f t="shared" si="124"/>
        <v>148771.56353971909</v>
      </c>
      <c r="Q181" s="65">
        <f t="shared" si="124"/>
        <v>152490.8526282121</v>
      </c>
      <c r="R181" s="65">
        <f t="shared" si="124"/>
        <v>156303.12394391737</v>
      </c>
      <c r="S181" s="88">
        <f t="shared" si="124"/>
        <v>160210.70161251526</v>
      </c>
      <c r="T181" s="124"/>
    </row>
    <row r="182" spans="2:20" ht="15.75" customHeight="1" x14ac:dyDescent="0.25">
      <c r="B182" s="302" t="s">
        <v>19</v>
      </c>
      <c r="C182" s="302"/>
      <c r="D182" s="302"/>
      <c r="E182" s="62"/>
      <c r="F182" s="217"/>
      <c r="G182" s="216"/>
      <c r="H182" s="217"/>
      <c r="I182" s="246"/>
      <c r="J182" s="246"/>
      <c r="K182" s="246"/>
      <c r="L182" s="246"/>
      <c r="M182" s="246"/>
      <c r="N182" s="85"/>
      <c r="O182" s="66"/>
      <c r="P182" s="66"/>
      <c r="Q182" s="66"/>
      <c r="R182" s="66"/>
      <c r="S182" s="89"/>
      <c r="T182" s="87"/>
    </row>
    <row r="183" spans="2:20" ht="21.75" customHeight="1" x14ac:dyDescent="0.2">
      <c r="B183" s="291" t="s">
        <v>91</v>
      </c>
      <c r="C183" s="291"/>
      <c r="D183" s="291"/>
      <c r="E183" s="39" t="s">
        <v>34</v>
      </c>
      <c r="F183" s="222">
        <f>F184+F185+F186+F187+F189</f>
        <v>2882422.6320705912</v>
      </c>
      <c r="G183" s="223">
        <f>SUM(G184:G189)</f>
        <v>183449.77669</v>
      </c>
      <c r="H183" s="222">
        <f>SUM(H184:H189)</f>
        <v>163840.3737</v>
      </c>
      <c r="I183" s="222">
        <f t="shared" ref="I183:K183" si="125">I184+I185+I186+I187+I189</f>
        <v>248659.27127</v>
      </c>
      <c r="J183" s="222">
        <f t="shared" si="125"/>
        <v>247726.18362188002</v>
      </c>
      <c r="K183" s="222">
        <f t="shared" si="125"/>
        <v>250074.16061672202</v>
      </c>
      <c r="L183" s="222">
        <f t="shared" ref="L183:N183" si="126">L184+L185+L186+L187+L189</f>
        <v>245936.29516642366</v>
      </c>
      <c r="M183" s="222">
        <f t="shared" si="126"/>
        <v>1542736.5710055656</v>
      </c>
      <c r="N183" s="74">
        <f t="shared" si="126"/>
        <v>249270.39902745996</v>
      </c>
      <c r="O183" s="80">
        <f>SUM(O184:O189)</f>
        <v>252464.58549543138</v>
      </c>
      <c r="P183" s="80">
        <f>SUM(P184:P189)</f>
        <v>255502.02022006718</v>
      </c>
      <c r="Q183" s="80">
        <f>SUM(Q184:Q189)</f>
        <v>258615.39081281886</v>
      </c>
      <c r="R183" s="80">
        <f>SUM(R184:R189)</f>
        <v>261806.5956703893</v>
      </c>
      <c r="S183" s="80">
        <f>SUM(S184:S189)</f>
        <v>265077.57977939898</v>
      </c>
      <c r="T183" s="84"/>
    </row>
    <row r="184" spans="2:20" x14ac:dyDescent="0.25">
      <c r="B184" s="291"/>
      <c r="C184" s="291"/>
      <c r="D184" s="291"/>
      <c r="E184" s="41" t="s">
        <v>6</v>
      </c>
      <c r="F184" s="250">
        <f t="shared" ref="F184:F188" si="127">G184+H184+I184+J184+K184+L184+M184</f>
        <v>0</v>
      </c>
      <c r="G184" s="216">
        <f t="shared" ref="G184:M184" si="128">G12+G19+G33+G40+G61+G76+G90+G104+G111+G118+G140+G147</f>
        <v>0</v>
      </c>
      <c r="H184" s="217">
        <f t="shared" si="128"/>
        <v>0</v>
      </c>
      <c r="I184" s="216">
        <f t="shared" si="128"/>
        <v>0</v>
      </c>
      <c r="J184" s="216">
        <f t="shared" si="128"/>
        <v>0</v>
      </c>
      <c r="K184" s="216">
        <f t="shared" si="128"/>
        <v>0</v>
      </c>
      <c r="L184" s="217">
        <f t="shared" si="128"/>
        <v>0</v>
      </c>
      <c r="M184" s="217">
        <f t="shared" si="128"/>
        <v>0</v>
      </c>
      <c r="N184" s="75">
        <f>L184*103%</f>
        <v>0</v>
      </c>
      <c r="O184" s="76">
        <f>N184*102.7%</f>
        <v>0</v>
      </c>
      <c r="P184" s="76">
        <f t="shared" ref="P184:S185" si="129">O184*102.5%</f>
        <v>0</v>
      </c>
      <c r="Q184" s="76">
        <f t="shared" si="129"/>
        <v>0</v>
      </c>
      <c r="R184" s="76">
        <f t="shared" si="129"/>
        <v>0</v>
      </c>
      <c r="S184" s="76">
        <f t="shared" si="129"/>
        <v>0</v>
      </c>
      <c r="T184" s="122"/>
    </row>
    <row r="185" spans="2:20" ht="27" customHeight="1" x14ac:dyDescent="0.25">
      <c r="B185" s="291"/>
      <c r="C185" s="291"/>
      <c r="D185" s="291"/>
      <c r="E185" s="41" t="s">
        <v>7</v>
      </c>
      <c r="F185" s="217">
        <f t="shared" si="127"/>
        <v>2645.5</v>
      </c>
      <c r="G185" s="216">
        <f>G91+G41</f>
        <v>727.5</v>
      </c>
      <c r="H185" s="217">
        <f t="shared" ref="H185" si="130">H91</f>
        <v>0</v>
      </c>
      <c r="I185" s="216">
        <f t="shared" ref="I185:K186" si="131">I13+I20+I34+I41+I62+I77+I91+I105+I112+I119+I141+I148</f>
        <v>1264.0999999999999</v>
      </c>
      <c r="J185" s="216">
        <f t="shared" si="131"/>
        <v>188.5</v>
      </c>
      <c r="K185" s="216">
        <f t="shared" si="131"/>
        <v>465.40000000000003</v>
      </c>
      <c r="L185" s="217">
        <f t="shared" ref="L185:M185" si="132">L91</f>
        <v>0</v>
      </c>
      <c r="M185" s="217">
        <f t="shared" si="132"/>
        <v>0</v>
      </c>
      <c r="N185" s="75">
        <f>L185*103%</f>
        <v>0</v>
      </c>
      <c r="O185" s="76">
        <f>N185*102.7%</f>
        <v>0</v>
      </c>
      <c r="P185" s="76">
        <f t="shared" si="129"/>
        <v>0</v>
      </c>
      <c r="Q185" s="76">
        <f t="shared" si="129"/>
        <v>0</v>
      </c>
      <c r="R185" s="76">
        <f t="shared" si="129"/>
        <v>0</v>
      </c>
      <c r="S185" s="76">
        <f t="shared" si="129"/>
        <v>0</v>
      </c>
      <c r="T185" s="122"/>
    </row>
    <row r="186" spans="2:20" x14ac:dyDescent="0.25">
      <c r="B186" s="291"/>
      <c r="C186" s="291"/>
      <c r="D186" s="291"/>
      <c r="E186" s="41" t="s">
        <v>8</v>
      </c>
      <c r="F186" s="250">
        <f>G186+H186+I186+J186+K186+L186+M186</f>
        <v>1725315.5831499998</v>
      </c>
      <c r="G186" s="216">
        <f>G14+G21+G35+G42+G63+G78+G92+G106+G113+G120+G142+G149</f>
        <v>182722.27669</v>
      </c>
      <c r="H186" s="217">
        <f>H14+H21+H35+H42+H63+H78+H92+H106+H113+H120+H142+H149</f>
        <v>163840.3737</v>
      </c>
      <c r="I186" s="217">
        <f t="shared" si="131"/>
        <v>194339.02927</v>
      </c>
      <c r="J186" s="217">
        <f t="shared" si="131"/>
        <v>133957.72696000003</v>
      </c>
      <c r="K186" s="217">
        <f t="shared" si="131"/>
        <v>133685.80095999999</v>
      </c>
      <c r="L186" s="217">
        <f>L14+L21+L35+L42+L63+L78+L92+L106+L113+L120+L142+L149</f>
        <v>130967.19651000001</v>
      </c>
      <c r="M186" s="217">
        <f>M14+M21+M35+M42+M63+M78+M92+M106+M113+M120+M142+M149</f>
        <v>785803.17905999999</v>
      </c>
      <c r="N186" s="75">
        <f>L186</f>
        <v>130967.19651000001</v>
      </c>
      <c r="O186" s="76">
        <f>N186</f>
        <v>130967.19651000001</v>
      </c>
      <c r="P186" s="76">
        <f>O186</f>
        <v>130967.19651000001</v>
      </c>
      <c r="Q186" s="76">
        <f>P186</f>
        <v>130967.19651000001</v>
      </c>
      <c r="R186" s="76">
        <f>Q186</f>
        <v>130967.19651000001</v>
      </c>
      <c r="S186" s="76">
        <f>R186</f>
        <v>130967.19651000001</v>
      </c>
      <c r="T186" s="122"/>
    </row>
    <row r="187" spans="2:20" ht="31.5" x14ac:dyDescent="0.25">
      <c r="B187" s="291"/>
      <c r="C187" s="291"/>
      <c r="D187" s="291"/>
      <c r="E187" s="41" t="s">
        <v>9</v>
      </c>
      <c r="F187" s="217">
        <f t="shared" si="127"/>
        <v>0</v>
      </c>
      <c r="G187" s="216">
        <f>G15+G22+G36+G43+G64+G79+G93+G107+G114+G121+G143+G150</f>
        <v>0</v>
      </c>
      <c r="H187" s="217">
        <v>0</v>
      </c>
      <c r="I187" s="217">
        <v>0</v>
      </c>
      <c r="J187" s="217">
        <v>0</v>
      </c>
      <c r="K187" s="217">
        <v>0</v>
      </c>
      <c r="L187" s="217">
        <v>0</v>
      </c>
      <c r="M187" s="225">
        <v>0</v>
      </c>
      <c r="N187" s="75">
        <f>L187*102.9%</f>
        <v>0</v>
      </c>
      <c r="O187" s="76">
        <f>N187*102.7%</f>
        <v>0</v>
      </c>
      <c r="P187" s="76">
        <f t="shared" ref="P187:S188" si="133">O187*102.5%</f>
        <v>0</v>
      </c>
      <c r="Q187" s="76">
        <f t="shared" si="133"/>
        <v>0</v>
      </c>
      <c r="R187" s="76">
        <f t="shared" si="133"/>
        <v>0</v>
      </c>
      <c r="S187" s="76">
        <f t="shared" si="133"/>
        <v>0</v>
      </c>
      <c r="T187" s="122"/>
    </row>
    <row r="188" spans="2:20" x14ac:dyDescent="0.25">
      <c r="B188" s="291"/>
      <c r="C188" s="291"/>
      <c r="D188" s="291"/>
      <c r="E188" s="40" t="s">
        <v>262</v>
      </c>
      <c r="F188" s="250">
        <f t="shared" si="127"/>
        <v>0</v>
      </c>
      <c r="G188" s="216">
        <f>G16+G23+G37+G44+G65+G80+G94+G108+G115+G122+G144+G151</f>
        <v>0</v>
      </c>
      <c r="H188" s="217">
        <f t="shared" ref="H188:M189" si="134">H16+H23+H37+H44+H65+H80+H94+H108+H115+H122+H144+H151</f>
        <v>0</v>
      </c>
      <c r="I188" s="217">
        <f t="shared" si="134"/>
        <v>0</v>
      </c>
      <c r="J188" s="217">
        <f t="shared" si="134"/>
        <v>0</v>
      </c>
      <c r="K188" s="217">
        <f t="shared" si="134"/>
        <v>0</v>
      </c>
      <c r="L188" s="217">
        <f t="shared" si="134"/>
        <v>0</v>
      </c>
      <c r="M188" s="217">
        <f t="shared" si="134"/>
        <v>0</v>
      </c>
      <c r="N188" s="75">
        <f>L188*102.9%</f>
        <v>0</v>
      </c>
      <c r="O188" s="76">
        <f>N188*102.7%</f>
        <v>0</v>
      </c>
      <c r="P188" s="76">
        <f t="shared" si="133"/>
        <v>0</v>
      </c>
      <c r="Q188" s="76">
        <f t="shared" si="133"/>
        <v>0</v>
      </c>
      <c r="R188" s="76">
        <f t="shared" si="133"/>
        <v>0</v>
      </c>
      <c r="S188" s="76">
        <f t="shared" si="133"/>
        <v>0</v>
      </c>
      <c r="T188" s="122"/>
    </row>
    <row r="189" spans="2:20" x14ac:dyDescent="0.2">
      <c r="B189" s="291"/>
      <c r="C189" s="291"/>
      <c r="D189" s="291"/>
      <c r="E189" s="63" t="s">
        <v>24</v>
      </c>
      <c r="F189" s="250">
        <f>G189+H189+I189+J189+K189+L189+M189</f>
        <v>1154461.5489205914</v>
      </c>
      <c r="G189" s="216">
        <f>G17+G24+G38+G45+G66+G81+G95+G109+G116+G123+G145+G152</f>
        <v>0</v>
      </c>
      <c r="H189" s="217">
        <f t="shared" si="134"/>
        <v>0</v>
      </c>
      <c r="I189" s="217">
        <f t="shared" si="134"/>
        <v>53056.141999999993</v>
      </c>
      <c r="J189" s="217">
        <f t="shared" si="134"/>
        <v>113579.95666188</v>
      </c>
      <c r="K189" s="217">
        <f t="shared" si="134"/>
        <v>115922.95965672201</v>
      </c>
      <c r="L189" s="217">
        <f t="shared" si="134"/>
        <v>114969.09865642365</v>
      </c>
      <c r="M189" s="217">
        <f t="shared" si="134"/>
        <v>756933.3919455657</v>
      </c>
      <c r="N189" s="65">
        <f t="shared" ref="N189:S189" si="135">N17+N24+N38+N45+N66+N81+N95+N109+N116+N123+N145+N152</f>
        <v>118303.20251745997</v>
      </c>
      <c r="O189" s="65">
        <f t="shared" si="135"/>
        <v>121497.38898543139</v>
      </c>
      <c r="P189" s="65">
        <f t="shared" si="135"/>
        <v>124534.82371006717</v>
      </c>
      <c r="Q189" s="65">
        <f t="shared" si="135"/>
        <v>127648.19430281885</v>
      </c>
      <c r="R189" s="65">
        <f t="shared" si="135"/>
        <v>130839.39916038929</v>
      </c>
      <c r="S189" s="65">
        <f t="shared" si="135"/>
        <v>134110.383269399</v>
      </c>
      <c r="T189" s="124"/>
    </row>
    <row r="190" spans="2:20" ht="20.25" customHeight="1" x14ac:dyDescent="0.2">
      <c r="B190" s="301" t="s">
        <v>244</v>
      </c>
      <c r="C190" s="301"/>
      <c r="D190" s="301"/>
      <c r="E190" s="39" t="s">
        <v>34</v>
      </c>
      <c r="F190" s="222">
        <f>F191+F192+F193+F194+F196</f>
        <v>574868.31000000006</v>
      </c>
      <c r="G190" s="223">
        <f>G191+G192+G193+G194+G196</f>
        <v>88918</v>
      </c>
      <c r="H190" s="222">
        <f>H191+H192+H193+H194+H196</f>
        <v>58193.490019999997</v>
      </c>
      <c r="I190" s="222">
        <f t="shared" ref="I190:K190" si="136">I191+I192+I193+I194+I196</f>
        <v>227468.41998000001</v>
      </c>
      <c r="J190" s="222">
        <f t="shared" si="136"/>
        <v>200288.4</v>
      </c>
      <c r="K190" s="222">
        <f t="shared" si="136"/>
        <v>0</v>
      </c>
      <c r="L190" s="222">
        <f t="shared" ref="L190:S190" si="137">L191+L192+L193+L194+L196</f>
        <v>0</v>
      </c>
      <c r="M190" s="222">
        <f t="shared" si="137"/>
        <v>0</v>
      </c>
      <c r="N190" s="72">
        <f t="shared" si="137"/>
        <v>0</v>
      </c>
      <c r="O190" s="72">
        <f t="shared" si="137"/>
        <v>0</v>
      </c>
      <c r="P190" s="72">
        <f t="shared" si="137"/>
        <v>0</v>
      </c>
      <c r="Q190" s="72">
        <f t="shared" si="137"/>
        <v>0</v>
      </c>
      <c r="R190" s="72">
        <f t="shared" si="137"/>
        <v>0</v>
      </c>
      <c r="S190" s="72">
        <f t="shared" si="137"/>
        <v>0</v>
      </c>
      <c r="T190" s="125"/>
    </row>
    <row r="191" spans="2:20" ht="15.75" customHeight="1" x14ac:dyDescent="0.2">
      <c r="B191" s="301"/>
      <c r="C191" s="301"/>
      <c r="D191" s="301"/>
      <c r="E191" s="41" t="s">
        <v>6</v>
      </c>
      <c r="F191" s="250">
        <f t="shared" ref="F191:F196" si="138">G191+H191+I191+J191+K191+L191+M191</f>
        <v>0</v>
      </c>
      <c r="G191" s="216">
        <f>G26+G125+G54</f>
        <v>0</v>
      </c>
      <c r="H191" s="216">
        <f t="shared" ref="H191:M191" si="139">H26+H125+H54</f>
        <v>0</v>
      </c>
      <c r="I191" s="216">
        <f t="shared" si="139"/>
        <v>0</v>
      </c>
      <c r="J191" s="216">
        <f t="shared" si="139"/>
        <v>0</v>
      </c>
      <c r="K191" s="216">
        <f t="shared" si="139"/>
        <v>0</v>
      </c>
      <c r="L191" s="216">
        <f t="shared" si="139"/>
        <v>0</v>
      </c>
      <c r="M191" s="216">
        <f t="shared" si="139"/>
        <v>0</v>
      </c>
      <c r="N191" s="65">
        <f t="shared" ref="N191:S191" si="140">N26+N125</f>
        <v>0</v>
      </c>
      <c r="O191" s="65">
        <f t="shared" si="140"/>
        <v>0</v>
      </c>
      <c r="P191" s="65">
        <f t="shared" si="140"/>
        <v>0</v>
      </c>
      <c r="Q191" s="65">
        <f t="shared" si="140"/>
        <v>0</v>
      </c>
      <c r="R191" s="65">
        <f t="shared" si="140"/>
        <v>0</v>
      </c>
      <c r="S191" s="65">
        <f t="shared" si="140"/>
        <v>0</v>
      </c>
      <c r="T191" s="124"/>
    </row>
    <row r="192" spans="2:20" x14ac:dyDescent="0.2">
      <c r="B192" s="301"/>
      <c r="C192" s="301"/>
      <c r="D192" s="301"/>
      <c r="E192" s="41" t="s">
        <v>7</v>
      </c>
      <c r="F192" s="250">
        <f t="shared" si="138"/>
        <v>0</v>
      </c>
      <c r="G192" s="216">
        <f t="shared" ref="G192:M196" si="141">G27+G126+G55</f>
        <v>0</v>
      </c>
      <c r="H192" s="216">
        <f t="shared" si="141"/>
        <v>0</v>
      </c>
      <c r="I192" s="216">
        <f t="shared" si="141"/>
        <v>0</v>
      </c>
      <c r="J192" s="216">
        <f t="shared" si="141"/>
        <v>0</v>
      </c>
      <c r="K192" s="216">
        <f t="shared" si="141"/>
        <v>0</v>
      </c>
      <c r="L192" s="216">
        <f t="shared" si="141"/>
        <v>0</v>
      </c>
      <c r="M192" s="216">
        <f t="shared" si="141"/>
        <v>0</v>
      </c>
      <c r="N192" s="65">
        <f t="shared" ref="N192:S192" si="142">N27+N126</f>
        <v>0</v>
      </c>
      <c r="O192" s="65">
        <f t="shared" si="142"/>
        <v>0</v>
      </c>
      <c r="P192" s="65">
        <f t="shared" si="142"/>
        <v>0</v>
      </c>
      <c r="Q192" s="65">
        <f t="shared" si="142"/>
        <v>0</v>
      </c>
      <c r="R192" s="65">
        <f t="shared" si="142"/>
        <v>0</v>
      </c>
      <c r="S192" s="65">
        <f t="shared" si="142"/>
        <v>0</v>
      </c>
      <c r="T192" s="124"/>
    </row>
    <row r="193" spans="2:20" x14ac:dyDescent="0.2">
      <c r="B193" s="301"/>
      <c r="C193" s="301"/>
      <c r="D193" s="301"/>
      <c r="E193" s="41" t="s">
        <v>8</v>
      </c>
      <c r="F193" s="250">
        <f>G193+H193+I193+J193+K193+L193+M193</f>
        <v>147671.49002</v>
      </c>
      <c r="G193" s="216">
        <f t="shared" si="141"/>
        <v>88918</v>
      </c>
      <c r="H193" s="216">
        <f t="shared" si="141"/>
        <v>58193.490019999997</v>
      </c>
      <c r="I193" s="216">
        <f t="shared" si="141"/>
        <v>560</v>
      </c>
      <c r="J193" s="216">
        <f t="shared" si="141"/>
        <v>0</v>
      </c>
      <c r="K193" s="216">
        <f t="shared" si="141"/>
        <v>0</v>
      </c>
      <c r="L193" s="216">
        <f t="shared" si="141"/>
        <v>0</v>
      </c>
      <c r="M193" s="216">
        <f t="shared" si="141"/>
        <v>0</v>
      </c>
      <c r="N193" s="65">
        <f t="shared" ref="N193:S193" si="143">N28+N127</f>
        <v>0</v>
      </c>
      <c r="O193" s="65">
        <f t="shared" si="143"/>
        <v>0</v>
      </c>
      <c r="P193" s="65">
        <f t="shared" si="143"/>
        <v>0</v>
      </c>
      <c r="Q193" s="65">
        <f t="shared" si="143"/>
        <v>0</v>
      </c>
      <c r="R193" s="65">
        <f t="shared" si="143"/>
        <v>0</v>
      </c>
      <c r="S193" s="65">
        <f t="shared" si="143"/>
        <v>0</v>
      </c>
      <c r="T193" s="124"/>
    </row>
    <row r="194" spans="2:20" ht="31.5" x14ac:dyDescent="0.2">
      <c r="B194" s="301"/>
      <c r="C194" s="301"/>
      <c r="D194" s="301"/>
      <c r="E194" s="41" t="s">
        <v>9</v>
      </c>
      <c r="F194" s="217">
        <f t="shared" si="138"/>
        <v>0</v>
      </c>
      <c r="G194" s="216">
        <f t="shared" si="141"/>
        <v>0</v>
      </c>
      <c r="H194" s="216">
        <f t="shared" si="141"/>
        <v>0</v>
      </c>
      <c r="I194" s="216">
        <f t="shared" si="141"/>
        <v>0</v>
      </c>
      <c r="J194" s="216">
        <f t="shared" si="141"/>
        <v>0</v>
      </c>
      <c r="K194" s="216">
        <f t="shared" si="141"/>
        <v>0</v>
      </c>
      <c r="L194" s="216">
        <f t="shared" si="141"/>
        <v>0</v>
      </c>
      <c r="M194" s="216">
        <f t="shared" si="141"/>
        <v>0</v>
      </c>
      <c r="N194" s="65">
        <f t="shared" ref="N194:S194" si="144">N29+N128</f>
        <v>0</v>
      </c>
      <c r="O194" s="65">
        <f t="shared" si="144"/>
        <v>0</v>
      </c>
      <c r="P194" s="65">
        <f t="shared" si="144"/>
        <v>0</v>
      </c>
      <c r="Q194" s="65">
        <f t="shared" si="144"/>
        <v>0</v>
      </c>
      <c r="R194" s="65">
        <f t="shared" si="144"/>
        <v>0</v>
      </c>
      <c r="S194" s="65">
        <f t="shared" si="144"/>
        <v>0</v>
      </c>
      <c r="T194" s="124"/>
    </row>
    <row r="195" spans="2:20" x14ac:dyDescent="0.2">
      <c r="B195" s="301"/>
      <c r="C195" s="301"/>
      <c r="D195" s="301"/>
      <c r="E195" s="40" t="s">
        <v>262</v>
      </c>
      <c r="F195" s="250">
        <f t="shared" si="138"/>
        <v>0</v>
      </c>
      <c r="G195" s="216">
        <f t="shared" si="141"/>
        <v>0</v>
      </c>
      <c r="H195" s="216">
        <f t="shared" si="141"/>
        <v>0</v>
      </c>
      <c r="I195" s="216">
        <f t="shared" si="141"/>
        <v>0</v>
      </c>
      <c r="J195" s="216">
        <f t="shared" si="141"/>
        <v>0</v>
      </c>
      <c r="K195" s="216">
        <f t="shared" si="141"/>
        <v>0</v>
      </c>
      <c r="L195" s="216">
        <f t="shared" si="141"/>
        <v>0</v>
      </c>
      <c r="M195" s="216">
        <f t="shared" si="141"/>
        <v>0</v>
      </c>
      <c r="N195" s="65">
        <f t="shared" ref="N195:S195" si="145">N30+N129</f>
        <v>0</v>
      </c>
      <c r="O195" s="65">
        <f t="shared" si="145"/>
        <v>0</v>
      </c>
      <c r="P195" s="65">
        <f t="shared" si="145"/>
        <v>0</v>
      </c>
      <c r="Q195" s="65">
        <f t="shared" si="145"/>
        <v>0</v>
      </c>
      <c r="R195" s="65">
        <f t="shared" si="145"/>
        <v>0</v>
      </c>
      <c r="S195" s="65">
        <f t="shared" si="145"/>
        <v>0</v>
      </c>
      <c r="T195" s="124"/>
    </row>
    <row r="196" spans="2:20" x14ac:dyDescent="0.2">
      <c r="B196" s="301"/>
      <c r="C196" s="301"/>
      <c r="D196" s="301"/>
      <c r="E196" s="63" t="s">
        <v>24</v>
      </c>
      <c r="F196" s="250">
        <f t="shared" si="138"/>
        <v>427196.81998000003</v>
      </c>
      <c r="G196" s="216">
        <f t="shared" si="141"/>
        <v>0</v>
      </c>
      <c r="H196" s="216">
        <f t="shared" si="141"/>
        <v>0</v>
      </c>
      <c r="I196" s="216">
        <f t="shared" si="141"/>
        <v>226908.41998000001</v>
      </c>
      <c r="J196" s="216">
        <f t="shared" si="141"/>
        <v>200288.4</v>
      </c>
      <c r="K196" s="216">
        <f t="shared" si="141"/>
        <v>0</v>
      </c>
      <c r="L196" s="216">
        <f t="shared" si="141"/>
        <v>0</v>
      </c>
      <c r="M196" s="216">
        <f t="shared" si="141"/>
        <v>0</v>
      </c>
      <c r="N196" s="65">
        <f t="shared" ref="N196:S196" si="146">N31+N130</f>
        <v>0</v>
      </c>
      <c r="O196" s="65">
        <f t="shared" si="146"/>
        <v>0</v>
      </c>
      <c r="P196" s="65">
        <f t="shared" si="146"/>
        <v>0</v>
      </c>
      <c r="Q196" s="65">
        <f t="shared" si="146"/>
        <v>0</v>
      </c>
      <c r="R196" s="65">
        <f t="shared" si="146"/>
        <v>0</v>
      </c>
      <c r="S196" s="65">
        <f t="shared" si="146"/>
        <v>0</v>
      </c>
      <c r="T196" s="124"/>
    </row>
    <row r="197" spans="2:20" ht="18.75" customHeight="1" x14ac:dyDescent="0.2">
      <c r="B197" s="301" t="s">
        <v>245</v>
      </c>
      <c r="C197" s="301"/>
      <c r="D197" s="301"/>
      <c r="E197" s="39" t="s">
        <v>34</v>
      </c>
      <c r="F197" s="222">
        <f>SUM(F198:F203)</f>
        <v>285134.23694068659</v>
      </c>
      <c r="G197" s="223">
        <f>G198+G199+G200+G201+G203</f>
        <v>18418.084219999997</v>
      </c>
      <c r="H197" s="222">
        <f t="shared" ref="H197" si="147">H198+H199+H200+H201+H203</f>
        <v>19062.234499999999</v>
      </c>
      <c r="I197" s="222">
        <f t="shared" ref="I197:S197" si="148">I198+I199+I200+I201+I203</f>
        <v>25296.29999</v>
      </c>
      <c r="J197" s="222">
        <f t="shared" si="148"/>
        <v>25987.789106799999</v>
      </c>
      <c r="K197" s="222">
        <f t="shared" si="148"/>
        <v>26681.759449254398</v>
      </c>
      <c r="L197" s="222">
        <f t="shared" si="148"/>
        <v>22375.075899032028</v>
      </c>
      <c r="M197" s="222">
        <f t="shared" si="148"/>
        <v>147312.99377560022</v>
      </c>
      <c r="N197" s="72">
        <f t="shared" si="148"/>
        <v>23023.953100103961</v>
      </c>
      <c r="O197" s="72">
        <f t="shared" si="148"/>
        <v>23645.599833806773</v>
      </c>
      <c r="P197" s="72">
        <f t="shared" si="148"/>
        <v>24236.739829651939</v>
      </c>
      <c r="Q197" s="72">
        <f t="shared" si="148"/>
        <v>24842.658325393237</v>
      </c>
      <c r="R197" s="72">
        <f t="shared" si="148"/>
        <v>25463.724783528065</v>
      </c>
      <c r="S197" s="72">
        <f t="shared" si="148"/>
        <v>26100.317903116265</v>
      </c>
      <c r="T197" s="125"/>
    </row>
    <row r="198" spans="2:20" x14ac:dyDescent="0.25">
      <c r="B198" s="301"/>
      <c r="C198" s="301"/>
      <c r="D198" s="301"/>
      <c r="E198" s="41" t="s">
        <v>6</v>
      </c>
      <c r="F198" s="250">
        <f t="shared" ref="F198:F203" si="149">G198+H198+I198+J198+K198+L198+M198</f>
        <v>0</v>
      </c>
      <c r="G198" s="216">
        <f>G26</f>
        <v>0</v>
      </c>
      <c r="H198" s="217">
        <f t="shared" ref="H198:H199" si="150">H26</f>
        <v>0</v>
      </c>
      <c r="I198" s="217">
        <f t="shared" ref="I198:M199" si="151">I26</f>
        <v>0</v>
      </c>
      <c r="J198" s="217">
        <f t="shared" si="151"/>
        <v>0</v>
      </c>
      <c r="K198" s="217">
        <f t="shared" si="151"/>
        <v>0</v>
      </c>
      <c r="L198" s="217">
        <f t="shared" si="151"/>
        <v>0</v>
      </c>
      <c r="M198" s="217">
        <f t="shared" si="151"/>
        <v>0</v>
      </c>
      <c r="N198" s="75">
        <f>L198*103%</f>
        <v>0</v>
      </c>
      <c r="O198" s="76">
        <f>N198*102.7%</f>
        <v>0</v>
      </c>
      <c r="P198" s="76">
        <f t="shared" ref="P198:S199" si="152">O198*102.5%</f>
        <v>0</v>
      </c>
      <c r="Q198" s="76">
        <f t="shared" si="152"/>
        <v>0</v>
      </c>
      <c r="R198" s="76">
        <f t="shared" si="152"/>
        <v>0</v>
      </c>
      <c r="S198" s="76">
        <f t="shared" si="152"/>
        <v>0</v>
      </c>
      <c r="T198" s="122"/>
    </row>
    <row r="199" spans="2:20" x14ac:dyDescent="0.25">
      <c r="B199" s="301"/>
      <c r="C199" s="301"/>
      <c r="D199" s="301"/>
      <c r="E199" s="41" t="s">
        <v>7</v>
      </c>
      <c r="F199" s="250">
        <f t="shared" si="149"/>
        <v>0</v>
      </c>
      <c r="G199" s="216">
        <f>G27</f>
        <v>0</v>
      </c>
      <c r="H199" s="217">
        <f t="shared" si="150"/>
        <v>0</v>
      </c>
      <c r="I199" s="217">
        <f t="shared" si="151"/>
        <v>0</v>
      </c>
      <c r="J199" s="217">
        <f t="shared" si="151"/>
        <v>0</v>
      </c>
      <c r="K199" s="217">
        <f t="shared" si="151"/>
        <v>0</v>
      </c>
      <c r="L199" s="217">
        <f t="shared" si="151"/>
        <v>0</v>
      </c>
      <c r="M199" s="217">
        <f t="shared" si="151"/>
        <v>0</v>
      </c>
      <c r="N199" s="75">
        <f>L199*103%</f>
        <v>0</v>
      </c>
      <c r="O199" s="76">
        <f>N199*102.7%</f>
        <v>0</v>
      </c>
      <c r="P199" s="76">
        <f t="shared" si="152"/>
        <v>0</v>
      </c>
      <c r="Q199" s="76">
        <f t="shared" si="152"/>
        <v>0</v>
      </c>
      <c r="R199" s="76">
        <f t="shared" si="152"/>
        <v>0</v>
      </c>
      <c r="S199" s="76">
        <f t="shared" si="152"/>
        <v>0</v>
      </c>
      <c r="T199" s="122"/>
    </row>
    <row r="200" spans="2:20" x14ac:dyDescent="0.25">
      <c r="B200" s="301"/>
      <c r="C200" s="301"/>
      <c r="D200" s="301"/>
      <c r="E200" s="41" t="s">
        <v>8</v>
      </c>
      <c r="F200" s="250">
        <f>G200+H200+I200+J200+K200+L200+M200</f>
        <v>71505.489919999993</v>
      </c>
      <c r="G200" s="216">
        <f>G49</f>
        <v>18418.084219999997</v>
      </c>
      <c r="H200" s="217">
        <f t="shared" ref="H200" si="153">H49</f>
        <v>19062.234499999999</v>
      </c>
      <c r="I200" s="217">
        <f t="shared" ref="I200:M200" si="154">I49</f>
        <v>24108.401620000001</v>
      </c>
      <c r="J200" s="217">
        <f t="shared" si="154"/>
        <v>4958.3847900000001</v>
      </c>
      <c r="K200" s="217">
        <f t="shared" si="154"/>
        <v>4958.3847900000001</v>
      </c>
      <c r="L200" s="217">
        <f t="shared" si="154"/>
        <v>0</v>
      </c>
      <c r="M200" s="217">
        <f t="shared" si="154"/>
        <v>0</v>
      </c>
      <c r="N200" s="75">
        <f>L200</f>
        <v>0</v>
      </c>
      <c r="O200" s="76">
        <f>N200</f>
        <v>0</v>
      </c>
      <c r="P200" s="76">
        <f>O200</f>
        <v>0</v>
      </c>
      <c r="Q200" s="76">
        <f>P200</f>
        <v>0</v>
      </c>
      <c r="R200" s="76">
        <f>Q200</f>
        <v>0</v>
      </c>
      <c r="S200" s="76">
        <f>R200</f>
        <v>0</v>
      </c>
      <c r="T200" s="122"/>
    </row>
    <row r="201" spans="2:20" ht="31.5" x14ac:dyDescent="0.25">
      <c r="B201" s="301"/>
      <c r="C201" s="301"/>
      <c r="D201" s="301"/>
      <c r="E201" s="41" t="s">
        <v>9</v>
      </c>
      <c r="F201" s="217">
        <f t="shared" si="149"/>
        <v>0</v>
      </c>
      <c r="G201" s="216">
        <f>G29</f>
        <v>0</v>
      </c>
      <c r="H201" s="217">
        <f t="shared" ref="H201" si="155">H29</f>
        <v>0</v>
      </c>
      <c r="I201" s="217">
        <f t="shared" ref="I201:M201" si="156">I29</f>
        <v>0</v>
      </c>
      <c r="J201" s="217">
        <f t="shared" si="156"/>
        <v>0</v>
      </c>
      <c r="K201" s="217">
        <f t="shared" si="156"/>
        <v>0</v>
      </c>
      <c r="L201" s="217">
        <f t="shared" si="156"/>
        <v>0</v>
      </c>
      <c r="M201" s="217">
        <f t="shared" si="156"/>
        <v>0</v>
      </c>
      <c r="N201" s="90">
        <v>0</v>
      </c>
      <c r="O201" s="69">
        <v>0</v>
      </c>
      <c r="P201" s="69">
        <v>0</v>
      </c>
      <c r="Q201" s="69">
        <v>0</v>
      </c>
      <c r="R201" s="69">
        <v>0</v>
      </c>
      <c r="S201" s="69">
        <v>0</v>
      </c>
      <c r="T201" s="126"/>
    </row>
    <row r="202" spans="2:20" x14ac:dyDescent="0.25">
      <c r="B202" s="301"/>
      <c r="C202" s="301"/>
      <c r="D202" s="301"/>
      <c r="E202" s="40" t="s">
        <v>262</v>
      </c>
      <c r="F202" s="250">
        <f t="shared" si="149"/>
        <v>0</v>
      </c>
      <c r="G202" s="216">
        <v>0</v>
      </c>
      <c r="H202" s="217">
        <v>0</v>
      </c>
      <c r="I202" s="217">
        <v>0</v>
      </c>
      <c r="J202" s="217">
        <v>0</v>
      </c>
      <c r="K202" s="217">
        <v>0</v>
      </c>
      <c r="L202" s="217">
        <v>0</v>
      </c>
      <c r="M202" s="217">
        <v>0</v>
      </c>
      <c r="N202" s="75">
        <f>L202*102.9%</f>
        <v>0</v>
      </c>
      <c r="O202" s="76">
        <f>N202*102.7%</f>
        <v>0</v>
      </c>
      <c r="P202" s="76">
        <f t="shared" ref="P202:S203" si="157">O202*102.5%</f>
        <v>0</v>
      </c>
      <c r="Q202" s="76">
        <f t="shared" si="157"/>
        <v>0</v>
      </c>
      <c r="R202" s="76">
        <f t="shared" si="157"/>
        <v>0</v>
      </c>
      <c r="S202" s="76">
        <f t="shared" si="157"/>
        <v>0</v>
      </c>
      <c r="T202" s="122"/>
    </row>
    <row r="203" spans="2:20" x14ac:dyDescent="0.25">
      <c r="B203" s="301"/>
      <c r="C203" s="301"/>
      <c r="D203" s="301"/>
      <c r="E203" s="63" t="s">
        <v>24</v>
      </c>
      <c r="F203" s="250">
        <f t="shared" si="149"/>
        <v>213628.74702068663</v>
      </c>
      <c r="G203" s="216">
        <f>G52</f>
        <v>0</v>
      </c>
      <c r="H203" s="217">
        <f t="shared" ref="H203" si="158">H52</f>
        <v>0</v>
      </c>
      <c r="I203" s="217">
        <f t="shared" ref="I203:M203" si="159">I52</f>
        <v>1187.898369999999</v>
      </c>
      <c r="J203" s="217">
        <f t="shared" si="159"/>
        <v>21029.404316799999</v>
      </c>
      <c r="K203" s="217">
        <f t="shared" si="159"/>
        <v>21723.374659254398</v>
      </c>
      <c r="L203" s="217">
        <f t="shared" si="159"/>
        <v>22375.075899032028</v>
      </c>
      <c r="M203" s="217">
        <f t="shared" si="159"/>
        <v>147312.99377560022</v>
      </c>
      <c r="N203" s="75">
        <f>L203*102.9%</f>
        <v>23023.953100103961</v>
      </c>
      <c r="O203" s="76">
        <f>N203*102.7%</f>
        <v>23645.599833806773</v>
      </c>
      <c r="P203" s="76">
        <f t="shared" si="157"/>
        <v>24236.739829651939</v>
      </c>
      <c r="Q203" s="76">
        <f t="shared" si="157"/>
        <v>24842.658325393237</v>
      </c>
      <c r="R203" s="76">
        <f t="shared" si="157"/>
        <v>25463.724783528065</v>
      </c>
      <c r="S203" s="76">
        <f t="shared" si="157"/>
        <v>26100.317903116265</v>
      </c>
      <c r="T203" s="122"/>
    </row>
    <row r="204" spans="2:20" ht="22.5" customHeight="1" x14ac:dyDescent="0.2">
      <c r="B204" s="291" t="s">
        <v>101</v>
      </c>
      <c r="C204" s="291"/>
      <c r="D204" s="291"/>
      <c r="E204" s="39" t="s">
        <v>34</v>
      </c>
      <c r="F204" s="222">
        <f>SUM(F205:F210)</f>
        <v>99.875</v>
      </c>
      <c r="G204" s="223">
        <f t="shared" ref="G204:M204" si="160">G205+G206+G207+G208+G210</f>
        <v>99.875</v>
      </c>
      <c r="H204" s="222">
        <f t="shared" si="160"/>
        <v>0</v>
      </c>
      <c r="I204" s="222">
        <f t="shared" si="160"/>
        <v>0</v>
      </c>
      <c r="J204" s="222">
        <f t="shared" si="160"/>
        <v>0</v>
      </c>
      <c r="K204" s="222">
        <f t="shared" si="160"/>
        <v>0</v>
      </c>
      <c r="L204" s="222">
        <f t="shared" si="160"/>
        <v>0</v>
      </c>
      <c r="M204" s="222">
        <f t="shared" si="160"/>
        <v>0</v>
      </c>
      <c r="N204" s="86"/>
      <c r="O204" s="66"/>
      <c r="P204" s="66"/>
      <c r="Q204" s="66"/>
      <c r="R204" s="66"/>
      <c r="S204" s="66"/>
      <c r="T204" s="87"/>
    </row>
    <row r="205" spans="2:20" ht="15.75" customHeight="1" x14ac:dyDescent="0.25">
      <c r="B205" s="291"/>
      <c r="C205" s="291"/>
      <c r="D205" s="291"/>
      <c r="E205" s="41" t="s">
        <v>6</v>
      </c>
      <c r="F205" s="250">
        <f t="shared" ref="F205:F210" si="161">G205+H205+I205+J205+K205+L205+M205</f>
        <v>0</v>
      </c>
      <c r="G205" s="216">
        <f>G97</f>
        <v>0</v>
      </c>
      <c r="H205" s="217">
        <f t="shared" ref="H205:H210" si="162">H97</f>
        <v>0</v>
      </c>
      <c r="I205" s="217">
        <f t="shared" ref="I205:M210" si="163">I97</f>
        <v>0</v>
      </c>
      <c r="J205" s="217">
        <f t="shared" si="163"/>
        <v>0</v>
      </c>
      <c r="K205" s="217">
        <f t="shared" si="163"/>
        <v>0</v>
      </c>
      <c r="L205" s="217">
        <f t="shared" si="163"/>
        <v>0</v>
      </c>
      <c r="M205" s="217">
        <f t="shared" si="163"/>
        <v>0</v>
      </c>
      <c r="N205" s="75">
        <f>L205*103%</f>
        <v>0</v>
      </c>
      <c r="O205" s="76">
        <f t="shared" ref="O205:O210" si="164">N205*102.7%</f>
        <v>0</v>
      </c>
      <c r="P205" s="76">
        <f t="shared" ref="P205:S210" si="165">O205*102.5%</f>
        <v>0</v>
      </c>
      <c r="Q205" s="76">
        <f t="shared" si="165"/>
        <v>0</v>
      </c>
      <c r="R205" s="76">
        <f t="shared" si="165"/>
        <v>0</v>
      </c>
      <c r="S205" s="76">
        <f t="shared" si="165"/>
        <v>0</v>
      </c>
      <c r="T205" s="122"/>
    </row>
    <row r="206" spans="2:20" x14ac:dyDescent="0.25">
      <c r="B206" s="291"/>
      <c r="C206" s="291"/>
      <c r="D206" s="291"/>
      <c r="E206" s="41" t="s">
        <v>7</v>
      </c>
      <c r="F206" s="250">
        <f t="shared" si="161"/>
        <v>79.900000000000006</v>
      </c>
      <c r="G206" s="216">
        <f t="shared" ref="G206:M210" si="166">G98</f>
        <v>79.900000000000006</v>
      </c>
      <c r="H206" s="217">
        <f t="shared" si="162"/>
        <v>0</v>
      </c>
      <c r="I206" s="217">
        <f t="shared" si="163"/>
        <v>0</v>
      </c>
      <c r="J206" s="217">
        <f t="shared" si="163"/>
        <v>0</v>
      </c>
      <c r="K206" s="217">
        <f t="shared" si="163"/>
        <v>0</v>
      </c>
      <c r="L206" s="217">
        <f t="shared" si="166"/>
        <v>0</v>
      </c>
      <c r="M206" s="217">
        <f t="shared" si="166"/>
        <v>0</v>
      </c>
      <c r="N206" s="75">
        <f>L206*103%</f>
        <v>0</v>
      </c>
      <c r="O206" s="76">
        <f t="shared" si="164"/>
        <v>0</v>
      </c>
      <c r="P206" s="76">
        <f t="shared" si="165"/>
        <v>0</v>
      </c>
      <c r="Q206" s="76">
        <f t="shared" si="165"/>
        <v>0</v>
      </c>
      <c r="R206" s="76">
        <f t="shared" si="165"/>
        <v>0</v>
      </c>
      <c r="S206" s="76">
        <f t="shared" si="165"/>
        <v>0</v>
      </c>
      <c r="T206" s="122"/>
    </row>
    <row r="207" spans="2:20" x14ac:dyDescent="0.25">
      <c r="B207" s="291"/>
      <c r="C207" s="291"/>
      <c r="D207" s="291"/>
      <c r="E207" s="41" t="s">
        <v>8</v>
      </c>
      <c r="F207" s="250">
        <f t="shared" si="161"/>
        <v>19.975000000000001</v>
      </c>
      <c r="G207" s="216">
        <f t="shared" si="166"/>
        <v>19.975000000000001</v>
      </c>
      <c r="H207" s="217">
        <f t="shared" si="162"/>
        <v>0</v>
      </c>
      <c r="I207" s="217">
        <f t="shared" si="163"/>
        <v>0</v>
      </c>
      <c r="J207" s="217">
        <f t="shared" si="163"/>
        <v>0</v>
      </c>
      <c r="K207" s="217">
        <f t="shared" si="163"/>
        <v>0</v>
      </c>
      <c r="L207" s="217">
        <f t="shared" si="166"/>
        <v>0</v>
      </c>
      <c r="M207" s="217">
        <f t="shared" si="166"/>
        <v>0</v>
      </c>
      <c r="N207" s="75">
        <f>L207*102.9%</f>
        <v>0</v>
      </c>
      <c r="O207" s="76">
        <f t="shared" si="164"/>
        <v>0</v>
      </c>
      <c r="P207" s="76">
        <f t="shared" si="165"/>
        <v>0</v>
      </c>
      <c r="Q207" s="76">
        <f t="shared" si="165"/>
        <v>0</v>
      </c>
      <c r="R207" s="76">
        <f t="shared" si="165"/>
        <v>0</v>
      </c>
      <c r="S207" s="76">
        <f t="shared" si="165"/>
        <v>0</v>
      </c>
      <c r="T207" s="122"/>
    </row>
    <row r="208" spans="2:20" ht="31.5" x14ac:dyDescent="0.25">
      <c r="B208" s="291"/>
      <c r="C208" s="291"/>
      <c r="D208" s="291"/>
      <c r="E208" s="41" t="s">
        <v>9</v>
      </c>
      <c r="F208" s="217">
        <f t="shared" si="161"/>
        <v>0</v>
      </c>
      <c r="G208" s="216">
        <f t="shared" si="166"/>
        <v>0</v>
      </c>
      <c r="H208" s="217">
        <f t="shared" si="162"/>
        <v>0</v>
      </c>
      <c r="I208" s="217">
        <f t="shared" si="163"/>
        <v>0</v>
      </c>
      <c r="J208" s="217">
        <f t="shared" si="163"/>
        <v>0</v>
      </c>
      <c r="K208" s="217">
        <f t="shared" si="163"/>
        <v>0</v>
      </c>
      <c r="L208" s="217">
        <f t="shared" si="166"/>
        <v>0</v>
      </c>
      <c r="M208" s="217">
        <f t="shared" si="166"/>
        <v>0</v>
      </c>
      <c r="N208" s="75">
        <f>L208*102.9%</f>
        <v>0</v>
      </c>
      <c r="O208" s="76">
        <f t="shared" si="164"/>
        <v>0</v>
      </c>
      <c r="P208" s="76">
        <f t="shared" si="165"/>
        <v>0</v>
      </c>
      <c r="Q208" s="76">
        <f t="shared" si="165"/>
        <v>0</v>
      </c>
      <c r="R208" s="76">
        <f t="shared" si="165"/>
        <v>0</v>
      </c>
      <c r="S208" s="76">
        <f t="shared" si="165"/>
        <v>0</v>
      </c>
      <c r="T208" s="122"/>
    </row>
    <row r="209" spans="1:20" ht="21" customHeight="1" x14ac:dyDescent="0.25">
      <c r="B209" s="291"/>
      <c r="C209" s="291"/>
      <c r="D209" s="291"/>
      <c r="E209" s="40" t="s">
        <v>262</v>
      </c>
      <c r="F209" s="250">
        <f t="shared" si="161"/>
        <v>0</v>
      </c>
      <c r="G209" s="216">
        <f t="shared" si="166"/>
        <v>0</v>
      </c>
      <c r="H209" s="217">
        <f t="shared" si="162"/>
        <v>0</v>
      </c>
      <c r="I209" s="217">
        <f t="shared" si="163"/>
        <v>0</v>
      </c>
      <c r="J209" s="217">
        <f t="shared" si="163"/>
        <v>0</v>
      </c>
      <c r="K209" s="217">
        <f t="shared" si="163"/>
        <v>0</v>
      </c>
      <c r="L209" s="217">
        <f t="shared" si="166"/>
        <v>0</v>
      </c>
      <c r="M209" s="217">
        <f t="shared" si="166"/>
        <v>0</v>
      </c>
      <c r="N209" s="75">
        <f>L209*102.9%</f>
        <v>0</v>
      </c>
      <c r="O209" s="76">
        <f t="shared" si="164"/>
        <v>0</v>
      </c>
      <c r="P209" s="76">
        <f t="shared" si="165"/>
        <v>0</v>
      </c>
      <c r="Q209" s="76">
        <f t="shared" si="165"/>
        <v>0</v>
      </c>
      <c r="R209" s="76">
        <f t="shared" si="165"/>
        <v>0</v>
      </c>
      <c r="S209" s="76">
        <f t="shared" si="165"/>
        <v>0</v>
      </c>
      <c r="T209" s="122"/>
    </row>
    <row r="210" spans="1:20" ht="22.5" customHeight="1" x14ac:dyDescent="0.25">
      <c r="B210" s="291"/>
      <c r="C210" s="291"/>
      <c r="D210" s="291"/>
      <c r="E210" s="63" t="s">
        <v>24</v>
      </c>
      <c r="F210" s="250">
        <f t="shared" si="161"/>
        <v>0</v>
      </c>
      <c r="G210" s="216">
        <f t="shared" si="166"/>
        <v>0</v>
      </c>
      <c r="H210" s="217">
        <f t="shared" si="162"/>
        <v>0</v>
      </c>
      <c r="I210" s="217">
        <f t="shared" si="163"/>
        <v>0</v>
      </c>
      <c r="J210" s="217">
        <f t="shared" si="163"/>
        <v>0</v>
      </c>
      <c r="K210" s="217">
        <f t="shared" si="163"/>
        <v>0</v>
      </c>
      <c r="L210" s="217">
        <f t="shared" si="166"/>
        <v>0</v>
      </c>
      <c r="M210" s="217">
        <f t="shared" si="166"/>
        <v>0</v>
      </c>
      <c r="N210" s="75">
        <f>L210*102.9%</f>
        <v>0</v>
      </c>
      <c r="O210" s="76">
        <f t="shared" si="164"/>
        <v>0</v>
      </c>
      <c r="P210" s="76">
        <f t="shared" si="165"/>
        <v>0</v>
      </c>
      <c r="Q210" s="76">
        <f t="shared" si="165"/>
        <v>0</v>
      </c>
      <c r="R210" s="76">
        <f t="shared" si="165"/>
        <v>0</v>
      </c>
      <c r="S210" s="76">
        <f t="shared" si="165"/>
        <v>0</v>
      </c>
      <c r="T210" s="122"/>
    </row>
    <row r="211" spans="1:20" ht="18.75" customHeight="1" x14ac:dyDescent="0.2">
      <c r="A211" s="299" t="s">
        <v>247</v>
      </c>
      <c r="B211" s="299"/>
      <c r="C211" s="299"/>
      <c r="D211" s="299"/>
      <c r="E211" s="299"/>
      <c r="F211" s="299"/>
      <c r="G211" s="299"/>
      <c r="H211" s="299"/>
      <c r="I211" s="299"/>
      <c r="J211" s="299"/>
      <c r="K211" s="299"/>
      <c r="L211" s="299"/>
      <c r="M211" s="299"/>
      <c r="N211" s="64"/>
      <c r="O211" s="64"/>
      <c r="P211" s="64"/>
      <c r="Q211" s="64"/>
      <c r="R211" s="64"/>
      <c r="S211" s="64"/>
      <c r="T211" s="64"/>
    </row>
    <row r="212" spans="1:20" s="127" customFormat="1" x14ac:dyDescent="0.25">
      <c r="A212" s="132"/>
      <c r="B212" s="132"/>
      <c r="C212" s="132"/>
      <c r="D212" s="132"/>
      <c r="E212" s="132"/>
      <c r="F212" s="155"/>
      <c r="G212" s="133"/>
      <c r="H212" s="184"/>
      <c r="I212" s="155"/>
      <c r="J212" s="155"/>
      <c r="K212" s="155"/>
      <c r="L212" s="155"/>
      <c r="M212" s="155"/>
    </row>
    <row r="213" spans="1:20" ht="18" customHeight="1" x14ac:dyDescent="0.25">
      <c r="F213" s="212"/>
      <c r="G213" s="253"/>
      <c r="H213" s="254"/>
      <c r="I213" s="255"/>
      <c r="J213" s="255"/>
      <c r="K213" s="255"/>
      <c r="L213" s="255"/>
      <c r="M213" s="255"/>
      <c r="N213" s="38"/>
      <c r="O213" s="38"/>
      <c r="P213" s="38"/>
      <c r="Q213" s="38"/>
      <c r="R213" s="38"/>
      <c r="S213" s="38"/>
      <c r="T213" s="38"/>
    </row>
    <row r="214" spans="1:20" ht="18" customHeight="1" x14ac:dyDescent="0.25">
      <c r="F214" s="212"/>
      <c r="G214" s="253"/>
      <c r="H214" s="254"/>
      <c r="I214" s="255"/>
      <c r="J214" s="255"/>
      <c r="K214" s="255"/>
      <c r="L214" s="255"/>
      <c r="M214" s="255"/>
      <c r="N214" s="38"/>
      <c r="O214" s="38"/>
      <c r="P214" s="38"/>
      <c r="Q214" s="38"/>
      <c r="R214" s="38"/>
      <c r="S214" s="38"/>
      <c r="T214" s="38"/>
    </row>
    <row r="215" spans="1:20" hidden="1" x14ac:dyDescent="0.25"/>
    <row r="216" spans="1:20" hidden="1" x14ac:dyDescent="0.25"/>
    <row r="217" spans="1:20" hidden="1" x14ac:dyDescent="0.25"/>
    <row r="218" spans="1:20" hidden="1" x14ac:dyDescent="0.2">
      <c r="F218" s="256">
        <f>F160-F183-F190-F197-F204</f>
        <v>0</v>
      </c>
      <c r="G218" s="257">
        <f t="shared" ref="G218:M224" si="167">G160-G183-G190-G197-G204</f>
        <v>-7.2759576141834259E-12</v>
      </c>
      <c r="H218" s="256">
        <f t="shared" si="167"/>
        <v>2.1827872842550278E-11</v>
      </c>
      <c r="I218" s="256">
        <f t="shared" si="167"/>
        <v>5.8207660913467407E-11</v>
      </c>
      <c r="J218" s="256">
        <f t="shared" si="167"/>
        <v>1.8189894035458565E-11</v>
      </c>
      <c r="K218" s="256">
        <f t="shared" si="167"/>
        <v>3.2741809263825417E-11</v>
      </c>
      <c r="L218" s="256">
        <f t="shared" si="167"/>
        <v>3.2741809263825417E-11</v>
      </c>
      <c r="M218" s="256">
        <f t="shared" si="167"/>
        <v>1.1641532182693481E-10</v>
      </c>
    </row>
    <row r="219" spans="1:20" hidden="1" x14ac:dyDescent="0.2">
      <c r="F219" s="256">
        <f t="shared" ref="F219:M224" si="168">F161-F184-F191-F198-F205</f>
        <v>0</v>
      </c>
      <c r="G219" s="257">
        <f t="shared" si="168"/>
        <v>0</v>
      </c>
      <c r="H219" s="256">
        <f t="shared" si="167"/>
        <v>0</v>
      </c>
      <c r="I219" s="256">
        <f t="shared" si="167"/>
        <v>0</v>
      </c>
      <c r="J219" s="256">
        <f t="shared" si="167"/>
        <v>0</v>
      </c>
      <c r="K219" s="256">
        <f t="shared" si="167"/>
        <v>0</v>
      </c>
      <c r="L219" s="256">
        <f t="shared" si="168"/>
        <v>0</v>
      </c>
      <c r="M219" s="256">
        <f t="shared" si="168"/>
        <v>0</v>
      </c>
    </row>
    <row r="220" spans="1:20" hidden="1" x14ac:dyDescent="0.2">
      <c r="F220" s="256">
        <f t="shared" si="168"/>
        <v>0</v>
      </c>
      <c r="G220" s="257">
        <f t="shared" si="168"/>
        <v>0</v>
      </c>
      <c r="H220" s="256">
        <f t="shared" si="167"/>
        <v>0</v>
      </c>
      <c r="I220" s="256">
        <f t="shared" si="167"/>
        <v>0</v>
      </c>
      <c r="J220" s="256">
        <f t="shared" si="167"/>
        <v>0</v>
      </c>
      <c r="K220" s="256">
        <f t="shared" si="167"/>
        <v>0</v>
      </c>
      <c r="L220" s="256">
        <f t="shared" si="168"/>
        <v>0</v>
      </c>
      <c r="M220" s="256">
        <f t="shared" si="168"/>
        <v>0</v>
      </c>
    </row>
    <row r="221" spans="1:20" hidden="1" x14ac:dyDescent="0.2">
      <c r="F221" s="256">
        <f t="shared" si="168"/>
        <v>9.3130836376076331E-11</v>
      </c>
      <c r="G221" s="257">
        <f t="shared" si="168"/>
        <v>-3.0560443065041909E-11</v>
      </c>
      <c r="H221" s="256">
        <f t="shared" si="167"/>
        <v>2.1827872842550278E-11</v>
      </c>
      <c r="I221" s="256">
        <f t="shared" si="167"/>
        <v>-1.0913936421275139E-11</v>
      </c>
      <c r="J221" s="256">
        <f t="shared" si="167"/>
        <v>-1.8189894035458565E-11</v>
      </c>
      <c r="K221" s="256">
        <f t="shared" si="167"/>
        <v>4.0017766878008842E-11</v>
      </c>
      <c r="L221" s="256">
        <f t="shared" si="168"/>
        <v>0</v>
      </c>
      <c r="M221" s="256">
        <f t="shared" si="168"/>
        <v>0</v>
      </c>
    </row>
    <row r="222" spans="1:20" hidden="1" x14ac:dyDescent="0.2">
      <c r="F222" s="256">
        <f t="shared" si="168"/>
        <v>0</v>
      </c>
      <c r="G222" s="257">
        <f t="shared" si="168"/>
        <v>0</v>
      </c>
      <c r="H222" s="256">
        <f t="shared" si="167"/>
        <v>0</v>
      </c>
      <c r="I222" s="256">
        <f t="shared" si="167"/>
        <v>0</v>
      </c>
      <c r="J222" s="256">
        <f t="shared" si="167"/>
        <v>0</v>
      </c>
      <c r="K222" s="256">
        <f t="shared" si="167"/>
        <v>0</v>
      </c>
      <c r="L222" s="256">
        <f t="shared" si="168"/>
        <v>0</v>
      </c>
      <c r="M222" s="256">
        <f t="shared" si="168"/>
        <v>0</v>
      </c>
    </row>
    <row r="223" spans="1:20" hidden="1" x14ac:dyDescent="0.2">
      <c r="F223" s="256">
        <f t="shared" si="168"/>
        <v>0</v>
      </c>
      <c r="G223" s="257">
        <f t="shared" si="168"/>
        <v>0</v>
      </c>
      <c r="H223" s="256">
        <f t="shared" si="167"/>
        <v>0</v>
      </c>
      <c r="I223" s="256">
        <f t="shared" si="167"/>
        <v>0</v>
      </c>
      <c r="J223" s="256">
        <f t="shared" si="167"/>
        <v>0</v>
      </c>
      <c r="K223" s="256">
        <f t="shared" si="167"/>
        <v>0</v>
      </c>
      <c r="L223" s="256">
        <f t="shared" si="168"/>
        <v>0</v>
      </c>
      <c r="M223" s="256">
        <f t="shared" si="168"/>
        <v>0</v>
      </c>
    </row>
    <row r="224" spans="1:20" hidden="1" x14ac:dyDescent="0.2">
      <c r="F224" s="256">
        <f t="shared" si="168"/>
        <v>0</v>
      </c>
      <c r="G224" s="257">
        <f t="shared" si="168"/>
        <v>0</v>
      </c>
      <c r="H224" s="256">
        <f t="shared" si="167"/>
        <v>0</v>
      </c>
      <c r="I224" s="256">
        <f t="shared" si="167"/>
        <v>6.9121597334742546E-11</v>
      </c>
      <c r="J224" s="256">
        <f t="shared" si="167"/>
        <v>-2.1827872842550278E-11</v>
      </c>
      <c r="K224" s="256">
        <f t="shared" si="167"/>
        <v>7.2759576141834259E-12</v>
      </c>
      <c r="L224" s="256">
        <f t="shared" si="168"/>
        <v>3.637978807091713E-12</v>
      </c>
      <c r="M224" s="256">
        <f t="shared" si="168"/>
        <v>0</v>
      </c>
    </row>
    <row r="225" spans="5:13" hidden="1" x14ac:dyDescent="0.25"/>
    <row r="226" spans="5:13" hidden="1" x14ac:dyDescent="0.25"/>
    <row r="227" spans="5:13" hidden="1" x14ac:dyDescent="0.2">
      <c r="F227" s="256">
        <f>F160-F168-F175</f>
        <v>0</v>
      </c>
      <c r="G227" s="257">
        <f t="shared" ref="G227:M233" si="169">G160-G168-G175</f>
        <v>0</v>
      </c>
      <c r="H227" s="256">
        <f t="shared" si="169"/>
        <v>0</v>
      </c>
      <c r="I227" s="256">
        <f t="shared" si="169"/>
        <v>0</v>
      </c>
      <c r="J227" s="256">
        <f t="shared" si="169"/>
        <v>0</v>
      </c>
      <c r="K227" s="256">
        <f t="shared" si="169"/>
        <v>0</v>
      </c>
      <c r="L227" s="256">
        <f t="shared" si="169"/>
        <v>0</v>
      </c>
      <c r="M227" s="256">
        <f t="shared" si="169"/>
        <v>0</v>
      </c>
    </row>
    <row r="228" spans="5:13" hidden="1" x14ac:dyDescent="0.2">
      <c r="F228" s="256">
        <f t="shared" ref="F228:F233" si="170">F161-F169-F176</f>
        <v>0</v>
      </c>
      <c r="G228" s="257">
        <f t="shared" ref="G228:M228" si="171">G161-G169-G176</f>
        <v>0</v>
      </c>
      <c r="H228" s="256">
        <f t="shared" si="169"/>
        <v>0</v>
      </c>
      <c r="I228" s="256">
        <f t="shared" si="169"/>
        <v>0</v>
      </c>
      <c r="J228" s="256">
        <f t="shared" si="169"/>
        <v>0</v>
      </c>
      <c r="K228" s="256">
        <f t="shared" si="169"/>
        <v>0</v>
      </c>
      <c r="L228" s="256">
        <f t="shared" si="171"/>
        <v>0</v>
      </c>
      <c r="M228" s="256">
        <f t="shared" si="171"/>
        <v>0</v>
      </c>
    </row>
    <row r="229" spans="5:13" hidden="1" x14ac:dyDescent="0.2">
      <c r="F229" s="256">
        <f t="shared" si="170"/>
        <v>0</v>
      </c>
      <c r="G229" s="257">
        <f t="shared" ref="G229:M229" si="172">G162-G170-G177</f>
        <v>0</v>
      </c>
      <c r="H229" s="256">
        <f t="shared" si="169"/>
        <v>0</v>
      </c>
      <c r="I229" s="256">
        <f t="shared" si="169"/>
        <v>0</v>
      </c>
      <c r="J229" s="256">
        <f t="shared" si="169"/>
        <v>0</v>
      </c>
      <c r="K229" s="256">
        <f t="shared" si="169"/>
        <v>0</v>
      </c>
      <c r="L229" s="256">
        <f t="shared" si="172"/>
        <v>0</v>
      </c>
      <c r="M229" s="256">
        <f t="shared" si="172"/>
        <v>0</v>
      </c>
    </row>
    <row r="230" spans="5:13" hidden="1" x14ac:dyDescent="0.2">
      <c r="F230" s="256">
        <f t="shared" si="170"/>
        <v>0</v>
      </c>
      <c r="G230" s="257">
        <f t="shared" ref="G230:M230" si="173">G163-G171-G178</f>
        <v>0</v>
      </c>
      <c r="H230" s="256">
        <f t="shared" si="169"/>
        <v>0</v>
      </c>
      <c r="I230" s="256">
        <f t="shared" si="169"/>
        <v>0</v>
      </c>
      <c r="J230" s="256">
        <f t="shared" si="169"/>
        <v>0</v>
      </c>
      <c r="K230" s="256">
        <f t="shared" si="169"/>
        <v>0</v>
      </c>
      <c r="L230" s="256">
        <f t="shared" si="173"/>
        <v>0</v>
      </c>
      <c r="M230" s="256">
        <f t="shared" si="173"/>
        <v>0</v>
      </c>
    </row>
    <row r="231" spans="5:13" hidden="1" x14ac:dyDescent="0.2">
      <c r="F231" s="256">
        <f t="shared" si="170"/>
        <v>0</v>
      </c>
      <c r="G231" s="257">
        <f t="shared" ref="G231:M231" si="174">G164-G172-G179</f>
        <v>0</v>
      </c>
      <c r="H231" s="256">
        <f t="shared" si="169"/>
        <v>0</v>
      </c>
      <c r="I231" s="256">
        <f t="shared" si="169"/>
        <v>0</v>
      </c>
      <c r="J231" s="256">
        <f t="shared" si="169"/>
        <v>0</v>
      </c>
      <c r="K231" s="256">
        <f t="shared" si="169"/>
        <v>0</v>
      </c>
      <c r="L231" s="256">
        <f t="shared" si="174"/>
        <v>0</v>
      </c>
      <c r="M231" s="256">
        <f t="shared" si="174"/>
        <v>0</v>
      </c>
    </row>
    <row r="232" spans="5:13" hidden="1" x14ac:dyDescent="0.2">
      <c r="F232" s="256">
        <f t="shared" si="170"/>
        <v>0</v>
      </c>
      <c r="G232" s="257">
        <f t="shared" ref="G232:M232" si="175">G165-G173-G180</f>
        <v>0</v>
      </c>
      <c r="H232" s="256">
        <f t="shared" si="169"/>
        <v>0</v>
      </c>
      <c r="I232" s="256">
        <f t="shared" si="169"/>
        <v>0</v>
      </c>
      <c r="J232" s="256">
        <f t="shared" si="169"/>
        <v>0</v>
      </c>
      <c r="K232" s="256">
        <f t="shared" si="169"/>
        <v>0</v>
      </c>
      <c r="L232" s="256">
        <f t="shared" si="175"/>
        <v>0</v>
      </c>
      <c r="M232" s="256">
        <f t="shared" si="175"/>
        <v>0</v>
      </c>
    </row>
    <row r="233" spans="5:13" hidden="1" x14ac:dyDescent="0.2">
      <c r="F233" s="256">
        <f t="shared" si="170"/>
        <v>0</v>
      </c>
      <c r="G233" s="257">
        <f t="shared" ref="G233:M233" si="176">G166-G174-G181</f>
        <v>0</v>
      </c>
      <c r="H233" s="256">
        <f t="shared" si="169"/>
        <v>0</v>
      </c>
      <c r="I233" s="256">
        <f t="shared" si="169"/>
        <v>0</v>
      </c>
      <c r="J233" s="256">
        <f t="shared" si="169"/>
        <v>0</v>
      </c>
      <c r="K233" s="256">
        <f t="shared" si="169"/>
        <v>0</v>
      </c>
      <c r="L233" s="256">
        <f t="shared" si="176"/>
        <v>0</v>
      </c>
      <c r="M233" s="256">
        <f t="shared" si="176"/>
        <v>0</v>
      </c>
    </row>
    <row r="234" spans="5:13" hidden="1" x14ac:dyDescent="0.25">
      <c r="I234" s="256">
        <f t="shared" ref="I234:K234" si="177">I160-I168-I175</f>
        <v>0</v>
      </c>
      <c r="J234" s="256">
        <f t="shared" si="177"/>
        <v>0</v>
      </c>
      <c r="K234" s="256">
        <f t="shared" si="177"/>
        <v>0</v>
      </c>
    </row>
    <row r="235" spans="5:13" ht="25.5" hidden="1" customHeight="1" x14ac:dyDescent="0.25">
      <c r="E235" s="154"/>
      <c r="F235" s="258"/>
      <c r="G235" s="259"/>
      <c r="H235" s="258"/>
      <c r="I235" s="256"/>
      <c r="J235" s="256"/>
      <c r="K235" s="256"/>
    </row>
    <row r="236" spans="5:13" ht="25.5" hidden="1" customHeight="1" x14ac:dyDescent="0.25">
      <c r="E236" s="154"/>
      <c r="F236" s="258"/>
      <c r="G236" s="259"/>
      <c r="H236" s="258"/>
      <c r="I236" s="256"/>
      <c r="J236" s="256"/>
      <c r="K236" s="256"/>
    </row>
    <row r="237" spans="5:13" ht="25.5" hidden="1" customHeight="1" x14ac:dyDescent="0.25">
      <c r="E237" s="154"/>
      <c r="F237" s="258"/>
      <c r="G237" s="259"/>
      <c r="H237" s="258"/>
      <c r="I237" s="256"/>
      <c r="J237" s="256"/>
      <c r="K237" s="256"/>
    </row>
    <row r="238" spans="5:13" hidden="1" x14ac:dyDescent="0.25">
      <c r="I238" s="256"/>
      <c r="J238" s="256"/>
      <c r="K238" s="256"/>
    </row>
    <row r="239" spans="5:13" hidden="1" x14ac:dyDescent="0.25">
      <c r="I239" s="256"/>
      <c r="J239" s="256"/>
      <c r="K239" s="256"/>
    </row>
    <row r="240" spans="5:13" hidden="1" x14ac:dyDescent="0.25">
      <c r="I240" s="256"/>
      <c r="J240" s="256"/>
      <c r="K240" s="256"/>
    </row>
    <row r="241" spans="5:11" hidden="1" x14ac:dyDescent="0.25"/>
    <row r="242" spans="5:11" hidden="1" x14ac:dyDescent="0.25"/>
    <row r="243" spans="5:11" x14ac:dyDescent="0.25">
      <c r="I243" s="256"/>
      <c r="J243" s="256"/>
      <c r="K243" s="256"/>
    </row>
    <row r="244" spans="5:11" x14ac:dyDescent="0.25">
      <c r="I244" s="256"/>
      <c r="J244" s="256"/>
      <c r="K244" s="256"/>
    </row>
    <row r="245" spans="5:11" x14ac:dyDescent="0.25">
      <c r="I245" s="256"/>
      <c r="J245" s="256"/>
      <c r="K245" s="256"/>
    </row>
    <row r="246" spans="5:11" x14ac:dyDescent="0.25">
      <c r="I246" s="256"/>
      <c r="J246" s="256"/>
      <c r="K246" s="256"/>
    </row>
    <row r="247" spans="5:11" x14ac:dyDescent="0.25">
      <c r="E247" s="61"/>
      <c r="I247" s="256"/>
      <c r="J247" s="256"/>
      <c r="K247" s="256"/>
    </row>
    <row r="248" spans="5:11" x14ac:dyDescent="0.25">
      <c r="E248" s="61"/>
      <c r="I248" s="256"/>
      <c r="J248" s="256"/>
      <c r="K248" s="256"/>
    </row>
    <row r="249" spans="5:11" x14ac:dyDescent="0.25">
      <c r="E249" s="61"/>
      <c r="I249" s="256"/>
      <c r="J249" s="256"/>
      <c r="K249" s="256"/>
    </row>
    <row r="250" spans="5:11" x14ac:dyDescent="0.25">
      <c r="E250" s="61"/>
      <c r="H250" s="260"/>
    </row>
    <row r="251" spans="5:11" x14ac:dyDescent="0.25">
      <c r="E251" s="61"/>
    </row>
    <row r="252" spans="5:11" x14ac:dyDescent="0.25">
      <c r="E252" s="61"/>
      <c r="H252" s="260"/>
    </row>
    <row r="253" spans="5:11" x14ac:dyDescent="0.25">
      <c r="E253" s="61"/>
      <c r="H253" s="261"/>
    </row>
    <row r="254" spans="5:11" x14ac:dyDescent="0.25">
      <c r="E254" s="61"/>
      <c r="H254" s="261"/>
      <c r="I254" s="256"/>
      <c r="J254" s="256"/>
      <c r="K254" s="256"/>
    </row>
    <row r="255" spans="5:11" x14ac:dyDescent="0.25">
      <c r="E255" s="61"/>
      <c r="H255" s="261"/>
      <c r="I255" s="256"/>
      <c r="J255" s="256"/>
      <c r="K255" s="256"/>
    </row>
    <row r="256" spans="5:11" x14ac:dyDescent="0.25">
      <c r="E256" s="61"/>
      <c r="I256" s="256"/>
      <c r="J256" s="256"/>
      <c r="K256" s="256"/>
    </row>
    <row r="257" spans="5:11" x14ac:dyDescent="0.25">
      <c r="E257" s="61"/>
      <c r="I257" s="256"/>
      <c r="J257" s="256"/>
      <c r="K257" s="256"/>
    </row>
    <row r="258" spans="5:11" x14ac:dyDescent="0.25">
      <c r="I258" s="256"/>
      <c r="J258" s="256"/>
      <c r="K258" s="256"/>
    </row>
    <row r="259" spans="5:11" x14ac:dyDescent="0.25">
      <c r="I259" s="256"/>
      <c r="J259" s="256"/>
      <c r="K259" s="256"/>
    </row>
    <row r="260" spans="5:11" x14ac:dyDescent="0.25">
      <c r="I260" s="256"/>
      <c r="J260" s="256"/>
      <c r="K260" s="256"/>
    </row>
  </sheetData>
  <mergeCells count="68">
    <mergeCell ref="B167:D167"/>
    <mergeCell ref="B168:D174"/>
    <mergeCell ref="B139:B145"/>
    <mergeCell ref="D39:D45"/>
    <mergeCell ref="D60:D66"/>
    <mergeCell ref="B60:B66"/>
    <mergeCell ref="C60:C66"/>
    <mergeCell ref="D46:D52"/>
    <mergeCell ref="B67:D73"/>
    <mergeCell ref="B74:M74"/>
    <mergeCell ref="B75:B88"/>
    <mergeCell ref="B160:D166"/>
    <mergeCell ref="B153:D159"/>
    <mergeCell ref="D146:D152"/>
    <mergeCell ref="D139:D145"/>
    <mergeCell ref="B39:B59"/>
    <mergeCell ref="B204:D210"/>
    <mergeCell ref="A211:M211"/>
    <mergeCell ref="B138:M138"/>
    <mergeCell ref="D110:D116"/>
    <mergeCell ref="B131:D137"/>
    <mergeCell ref="C110:C116"/>
    <mergeCell ref="D124:D130"/>
    <mergeCell ref="B110:B116"/>
    <mergeCell ref="B183:D189"/>
    <mergeCell ref="B190:D196"/>
    <mergeCell ref="B197:D203"/>
    <mergeCell ref="B175:D181"/>
    <mergeCell ref="B182:D182"/>
    <mergeCell ref="C139:C145"/>
    <mergeCell ref="B146:B152"/>
    <mergeCell ref="C146:C152"/>
    <mergeCell ref="D18:D24"/>
    <mergeCell ref="D25:D31"/>
    <mergeCell ref="C11:C17"/>
    <mergeCell ref="D11:D17"/>
    <mergeCell ref="B11:B17"/>
    <mergeCell ref="C5:C8"/>
    <mergeCell ref="B1:L2"/>
    <mergeCell ref="B3:M3"/>
    <mergeCell ref="B32:B38"/>
    <mergeCell ref="C32:C38"/>
    <mergeCell ref="G7:M7"/>
    <mergeCell ref="F5:M5"/>
    <mergeCell ref="B10:M10"/>
    <mergeCell ref="F6:M6"/>
    <mergeCell ref="F7:F8"/>
    <mergeCell ref="D5:D8"/>
    <mergeCell ref="E5:E8"/>
    <mergeCell ref="B5:B8"/>
    <mergeCell ref="C18:C31"/>
    <mergeCell ref="D32:D38"/>
    <mergeCell ref="B18:B31"/>
    <mergeCell ref="C39:C59"/>
    <mergeCell ref="D53:D59"/>
    <mergeCell ref="B117:B130"/>
    <mergeCell ref="C117:C130"/>
    <mergeCell ref="C75:C88"/>
    <mergeCell ref="D75:D81"/>
    <mergeCell ref="B89:B102"/>
    <mergeCell ref="C89:C102"/>
    <mergeCell ref="B103:B109"/>
    <mergeCell ref="C103:C109"/>
    <mergeCell ref="D103:D109"/>
    <mergeCell ref="D96:D102"/>
    <mergeCell ref="D89:D95"/>
    <mergeCell ref="D82:D88"/>
    <mergeCell ref="D117:D123"/>
  </mergeCells>
  <pageMargins left="0.15748031496062992" right="0.19685039370078741" top="0.94488188976377963" bottom="0.15748031496062992" header="0.19685039370078741" footer="0.15748031496062992"/>
  <pageSetup paperSize="9" scale="45" orientation="landscape" r:id="rId1"/>
  <rowBreaks count="4" manualBreakCount="4">
    <brk id="59" max="12" man="1"/>
    <brk id="109" max="12" man="1"/>
    <brk id="152" max="12" man="1"/>
    <brk id="196" max="1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0000"/>
    <pageSetUpPr fitToPage="1"/>
  </sheetPr>
  <dimension ref="A1:AW54"/>
  <sheetViews>
    <sheetView zoomScale="70" zoomScaleNormal="70" zoomScaleSheetLayoutView="70" workbookViewId="0">
      <selection activeCell="A2" sqref="A2:T3"/>
    </sheetView>
  </sheetViews>
  <sheetFormatPr defaultRowHeight="12.75" x14ac:dyDescent="0.2"/>
  <cols>
    <col min="1" max="1" width="6.42578125" style="37" customWidth="1"/>
    <col min="2" max="2" width="37.140625" style="37" customWidth="1"/>
    <col min="3" max="3" width="14.7109375" style="37" customWidth="1"/>
    <col min="4" max="4" width="13.140625" style="37" customWidth="1"/>
    <col min="5" max="5" width="21" style="37" customWidth="1"/>
    <col min="6" max="6" width="23.42578125" style="37" customWidth="1"/>
    <col min="7" max="7" width="31.140625" style="37" customWidth="1"/>
    <col min="8" max="8" width="25.5703125" style="37" customWidth="1"/>
    <col min="9" max="9" width="18.5703125" style="37" hidden="1" customWidth="1"/>
    <col min="10" max="10" width="16.5703125" style="37" hidden="1" customWidth="1"/>
    <col min="11" max="11" width="23.5703125" style="37" customWidth="1"/>
    <col min="12" max="12" width="26" style="37" customWidth="1"/>
    <col min="13" max="13" width="25.5703125" style="37" customWidth="1"/>
    <col min="14" max="14" width="26.140625" style="37" customWidth="1"/>
    <col min="15" max="17" width="18.28515625" style="37" customWidth="1"/>
    <col min="18" max="18" width="12.7109375" style="37" customWidth="1"/>
    <col min="19" max="19" width="14.28515625" style="37" customWidth="1"/>
    <col min="20" max="20" width="34" style="37" customWidth="1"/>
    <col min="21" max="49" width="9.140625" style="97"/>
    <col min="50" max="16384" width="9.140625" style="37"/>
  </cols>
  <sheetData>
    <row r="1" spans="1:49" ht="15.75" x14ac:dyDescent="0.25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2" t="s">
        <v>43</v>
      </c>
    </row>
    <row r="2" spans="1:49" ht="15.75" customHeight="1" x14ac:dyDescent="0.2">
      <c r="A2" s="308" t="s">
        <v>234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</row>
    <row r="3" spans="1:49" ht="18.75" customHeight="1" x14ac:dyDescent="0.2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</row>
    <row r="4" spans="1:49" ht="18.75" x14ac:dyDescent="0.3">
      <c r="A4" s="93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</row>
    <row r="5" spans="1:49" ht="12.75" customHeight="1" x14ac:dyDescent="0.2">
      <c r="A5" s="309" t="s">
        <v>97</v>
      </c>
      <c r="B5" s="309" t="s">
        <v>235</v>
      </c>
      <c r="C5" s="309" t="s">
        <v>41</v>
      </c>
      <c r="D5" s="309" t="s">
        <v>40</v>
      </c>
      <c r="E5" s="314" t="s">
        <v>236</v>
      </c>
      <c r="F5" s="309" t="s">
        <v>90</v>
      </c>
      <c r="G5" s="309" t="s">
        <v>39</v>
      </c>
      <c r="H5" s="315" t="s">
        <v>96</v>
      </c>
      <c r="I5" s="316"/>
      <c r="J5" s="316"/>
      <c r="K5" s="316"/>
      <c r="L5" s="316"/>
      <c r="M5" s="316"/>
      <c r="N5" s="316"/>
      <c r="O5" s="316"/>
      <c r="P5" s="316"/>
      <c r="Q5" s="317"/>
      <c r="R5" s="309" t="s">
        <v>238</v>
      </c>
      <c r="S5" s="309"/>
      <c r="T5" s="309"/>
    </row>
    <row r="6" spans="1:49" ht="10.5" customHeight="1" x14ac:dyDescent="0.2">
      <c r="A6" s="309"/>
      <c r="B6" s="309"/>
      <c r="C6" s="309"/>
      <c r="D6" s="309"/>
      <c r="E6" s="314"/>
      <c r="F6" s="309"/>
      <c r="G6" s="309"/>
      <c r="H6" s="318"/>
      <c r="I6" s="319"/>
      <c r="J6" s="319"/>
      <c r="K6" s="319"/>
      <c r="L6" s="319"/>
      <c r="M6" s="319"/>
      <c r="N6" s="319"/>
      <c r="O6" s="319"/>
      <c r="P6" s="319"/>
      <c r="Q6" s="320"/>
      <c r="R6" s="309"/>
      <c r="S6" s="309"/>
      <c r="T6" s="309"/>
    </row>
    <row r="7" spans="1:49" ht="27" customHeight="1" x14ac:dyDescent="0.2">
      <c r="A7" s="309"/>
      <c r="B7" s="309"/>
      <c r="C7" s="309"/>
      <c r="D7" s="309"/>
      <c r="E7" s="314"/>
      <c r="F7" s="309"/>
      <c r="G7" s="309"/>
      <c r="H7" s="309" t="s">
        <v>34</v>
      </c>
      <c r="I7" s="311" t="s">
        <v>237</v>
      </c>
      <c r="J7" s="312"/>
      <c r="K7" s="312"/>
      <c r="L7" s="312"/>
      <c r="M7" s="312"/>
      <c r="N7" s="312"/>
      <c r="O7" s="312"/>
      <c r="P7" s="312"/>
      <c r="Q7" s="313"/>
      <c r="R7" s="309"/>
      <c r="S7" s="309"/>
      <c r="T7" s="309"/>
    </row>
    <row r="8" spans="1:49" ht="111" customHeight="1" x14ac:dyDescent="0.2">
      <c r="A8" s="309"/>
      <c r="B8" s="309"/>
      <c r="C8" s="309"/>
      <c r="D8" s="309"/>
      <c r="E8" s="314"/>
      <c r="F8" s="309"/>
      <c r="G8" s="309"/>
      <c r="H8" s="309"/>
      <c r="I8" s="95" t="s">
        <v>95</v>
      </c>
      <c r="J8" s="95" t="s">
        <v>36</v>
      </c>
      <c r="K8" s="95" t="s">
        <v>1</v>
      </c>
      <c r="L8" s="95" t="s">
        <v>0</v>
      </c>
      <c r="M8" s="95" t="s">
        <v>119</v>
      </c>
      <c r="N8" s="95" t="s">
        <v>120</v>
      </c>
      <c r="O8" s="95" t="s">
        <v>121</v>
      </c>
      <c r="P8" s="95" t="s">
        <v>122</v>
      </c>
      <c r="Q8" s="95" t="s">
        <v>190</v>
      </c>
      <c r="R8" s="309"/>
      <c r="S8" s="309"/>
      <c r="T8" s="309"/>
    </row>
    <row r="9" spans="1:49" ht="18.75" customHeight="1" x14ac:dyDescent="0.25">
      <c r="A9" s="96">
        <v>1</v>
      </c>
      <c r="B9" s="96">
        <v>2</v>
      </c>
      <c r="C9" s="96">
        <v>3</v>
      </c>
      <c r="D9" s="96">
        <v>4</v>
      </c>
      <c r="E9" s="96">
        <v>5</v>
      </c>
      <c r="F9" s="96">
        <v>6</v>
      </c>
      <c r="G9" s="96">
        <v>7</v>
      </c>
      <c r="H9" s="110">
        <v>8</v>
      </c>
      <c r="I9" s="96">
        <v>9</v>
      </c>
      <c r="J9" s="96">
        <v>10</v>
      </c>
      <c r="K9" s="96">
        <v>9</v>
      </c>
      <c r="L9" s="96">
        <v>10</v>
      </c>
      <c r="M9" s="96">
        <v>11</v>
      </c>
      <c r="N9" s="96">
        <v>12</v>
      </c>
      <c r="O9" s="96">
        <v>13</v>
      </c>
      <c r="P9" s="96">
        <v>14</v>
      </c>
      <c r="Q9" s="96">
        <v>15</v>
      </c>
      <c r="R9" s="310">
        <v>16</v>
      </c>
      <c r="S9" s="310"/>
      <c r="T9" s="310"/>
    </row>
    <row r="10" spans="1:49" s="128" customFormat="1" ht="27" customHeight="1" x14ac:dyDescent="0.2">
      <c r="A10" s="321" t="s">
        <v>94</v>
      </c>
      <c r="B10" s="344" t="s">
        <v>277</v>
      </c>
      <c r="C10" s="347" t="s">
        <v>210</v>
      </c>
      <c r="D10" s="344" t="s">
        <v>211</v>
      </c>
      <c r="E10" s="347" t="s">
        <v>124</v>
      </c>
      <c r="F10" s="350" t="s">
        <v>98</v>
      </c>
      <c r="G10" s="173" t="s">
        <v>131</v>
      </c>
      <c r="H10" s="174">
        <f>SUM(K10:Q10)</f>
        <v>191675.8</v>
      </c>
      <c r="I10" s="175"/>
      <c r="J10" s="176"/>
      <c r="K10" s="176">
        <f>SUM(K11:K16)</f>
        <v>88278</v>
      </c>
      <c r="L10" s="176">
        <f>SUM(L11:L16)</f>
        <v>57553.490019999997</v>
      </c>
      <c r="M10" s="176">
        <f t="shared" ref="M10:Q10" si="0">SUM(M11:M16)</f>
        <v>45844.309979999998</v>
      </c>
      <c r="N10" s="176">
        <f t="shared" si="0"/>
        <v>0</v>
      </c>
      <c r="O10" s="176">
        <f t="shared" si="0"/>
        <v>0</v>
      </c>
      <c r="P10" s="176">
        <f t="shared" si="0"/>
        <v>0</v>
      </c>
      <c r="Q10" s="176">
        <f t="shared" si="0"/>
        <v>0</v>
      </c>
      <c r="R10" s="335" t="s">
        <v>105</v>
      </c>
      <c r="S10" s="336"/>
      <c r="T10" s="33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</row>
    <row r="11" spans="1:49" ht="21.75" customHeight="1" x14ac:dyDescent="0.2">
      <c r="A11" s="322"/>
      <c r="B11" s="345"/>
      <c r="C11" s="348"/>
      <c r="D11" s="345"/>
      <c r="E11" s="348"/>
      <c r="F11" s="351"/>
      <c r="G11" s="114" t="s">
        <v>6</v>
      </c>
      <c r="H11" s="158">
        <v>0</v>
      </c>
      <c r="I11" s="159"/>
      <c r="J11" s="159"/>
      <c r="K11" s="159">
        <v>0</v>
      </c>
      <c r="L11" s="159">
        <v>0</v>
      </c>
      <c r="M11" s="159">
        <v>0</v>
      </c>
      <c r="N11" s="159">
        <v>0</v>
      </c>
      <c r="O11" s="53">
        <v>0</v>
      </c>
      <c r="P11" s="53">
        <v>0</v>
      </c>
      <c r="Q11" s="53">
        <v>0</v>
      </c>
      <c r="R11" s="338"/>
      <c r="S11" s="339"/>
      <c r="T11" s="340"/>
    </row>
    <row r="12" spans="1:49" ht="36" customHeight="1" x14ac:dyDescent="0.2">
      <c r="A12" s="322"/>
      <c r="B12" s="345"/>
      <c r="C12" s="348"/>
      <c r="D12" s="345"/>
      <c r="E12" s="348"/>
      <c r="F12" s="351"/>
      <c r="G12" s="114" t="s">
        <v>7</v>
      </c>
      <c r="H12" s="158">
        <v>0</v>
      </c>
      <c r="I12" s="160"/>
      <c r="J12" s="160"/>
      <c r="K12" s="159">
        <v>0</v>
      </c>
      <c r="L12" s="159">
        <v>0</v>
      </c>
      <c r="M12" s="159">
        <v>0</v>
      </c>
      <c r="N12" s="159">
        <v>0</v>
      </c>
      <c r="O12" s="53">
        <v>0</v>
      </c>
      <c r="P12" s="53">
        <v>0</v>
      </c>
      <c r="Q12" s="53">
        <v>0</v>
      </c>
      <c r="R12" s="338"/>
      <c r="S12" s="339"/>
      <c r="T12" s="340"/>
    </row>
    <row r="13" spans="1:49" ht="22.5" customHeight="1" x14ac:dyDescent="0.2">
      <c r="A13" s="322"/>
      <c r="B13" s="345"/>
      <c r="C13" s="348"/>
      <c r="D13" s="345"/>
      <c r="E13" s="348"/>
      <c r="F13" s="351"/>
      <c r="G13" s="117" t="s">
        <v>8</v>
      </c>
      <c r="H13" s="158">
        <f t="shared" ref="H13:H16" si="1">SUM(K13:Q13)</f>
        <v>145831.49002</v>
      </c>
      <c r="I13" s="160"/>
      <c r="J13" s="160"/>
      <c r="K13" s="159">
        <f>' таблица 2'!G28-K27</f>
        <v>88278</v>
      </c>
      <c r="L13" s="159">
        <f>' таблица 2'!H28-L27</f>
        <v>57553.490019999997</v>
      </c>
      <c r="M13" s="159"/>
      <c r="N13" s="159"/>
      <c r="O13" s="53">
        <v>0</v>
      </c>
      <c r="P13" s="53">
        <v>0</v>
      </c>
      <c r="Q13" s="53">
        <v>0</v>
      </c>
      <c r="R13" s="338"/>
      <c r="S13" s="339"/>
      <c r="T13" s="340"/>
    </row>
    <row r="14" spans="1:49" ht="36" customHeight="1" x14ac:dyDescent="0.2">
      <c r="A14" s="322"/>
      <c r="B14" s="345"/>
      <c r="C14" s="348"/>
      <c r="D14" s="345"/>
      <c r="E14" s="348"/>
      <c r="F14" s="351"/>
      <c r="G14" s="114" t="s">
        <v>9</v>
      </c>
      <c r="H14" s="158">
        <f t="shared" si="1"/>
        <v>0</v>
      </c>
      <c r="I14" s="160"/>
      <c r="J14" s="160"/>
      <c r="K14" s="159">
        <v>0</v>
      </c>
      <c r="L14" s="159">
        <v>0</v>
      </c>
      <c r="M14" s="159">
        <v>0</v>
      </c>
      <c r="N14" s="159">
        <v>0</v>
      </c>
      <c r="O14" s="53">
        <v>0</v>
      </c>
      <c r="P14" s="53">
        <v>0</v>
      </c>
      <c r="Q14" s="53">
        <v>0</v>
      </c>
      <c r="R14" s="338"/>
      <c r="S14" s="339"/>
      <c r="T14" s="340"/>
    </row>
    <row r="15" spans="1:49" ht="25.5" customHeight="1" x14ac:dyDescent="0.2">
      <c r="A15" s="322"/>
      <c r="B15" s="345"/>
      <c r="C15" s="348"/>
      <c r="D15" s="345"/>
      <c r="E15" s="348"/>
      <c r="F15" s="351"/>
      <c r="G15" s="114" t="s">
        <v>130</v>
      </c>
      <c r="H15" s="158">
        <f t="shared" si="1"/>
        <v>0</v>
      </c>
      <c r="I15" s="160"/>
      <c r="J15" s="160"/>
      <c r="K15" s="159">
        <v>0</v>
      </c>
      <c r="L15" s="159">
        <v>0</v>
      </c>
      <c r="M15" s="159">
        <v>0</v>
      </c>
      <c r="N15" s="159">
        <v>0</v>
      </c>
      <c r="O15" s="53">
        <v>0</v>
      </c>
      <c r="P15" s="53">
        <v>0</v>
      </c>
      <c r="Q15" s="53">
        <v>0</v>
      </c>
      <c r="R15" s="338"/>
      <c r="S15" s="339"/>
      <c r="T15" s="340"/>
    </row>
    <row r="16" spans="1:49" ht="25.5" customHeight="1" x14ac:dyDescent="0.2">
      <c r="A16" s="323"/>
      <c r="B16" s="346"/>
      <c r="C16" s="349"/>
      <c r="D16" s="346"/>
      <c r="E16" s="349"/>
      <c r="F16" s="352"/>
      <c r="G16" s="114" t="s">
        <v>24</v>
      </c>
      <c r="H16" s="158">
        <f t="shared" si="1"/>
        <v>45844.309979999998</v>
      </c>
      <c r="I16" s="160"/>
      <c r="J16" s="160"/>
      <c r="K16" s="159">
        <v>0</v>
      </c>
      <c r="L16" s="159">
        <v>0</v>
      </c>
      <c r="M16" s="159">
        <v>45844.309979999998</v>
      </c>
      <c r="N16" s="159">
        <v>0</v>
      </c>
      <c r="O16" s="53">
        <v>0</v>
      </c>
      <c r="P16" s="53">
        <v>0</v>
      </c>
      <c r="Q16" s="53">
        <v>0</v>
      </c>
      <c r="R16" s="341"/>
      <c r="S16" s="342"/>
      <c r="T16" s="343"/>
    </row>
    <row r="17" spans="1:49" s="128" customFormat="1" ht="25.5" customHeight="1" x14ac:dyDescent="0.2">
      <c r="A17" s="309" t="s">
        <v>93</v>
      </c>
      <c r="B17" s="324" t="s">
        <v>194</v>
      </c>
      <c r="C17" s="334" t="s">
        <v>210</v>
      </c>
      <c r="D17" s="324" t="s">
        <v>209</v>
      </c>
      <c r="E17" s="324" t="s">
        <v>297</v>
      </c>
      <c r="F17" s="324" t="s">
        <v>99</v>
      </c>
      <c r="G17" s="177" t="s">
        <v>131</v>
      </c>
      <c r="H17" s="174">
        <f>SUM(K17:Q17)</f>
        <v>330814</v>
      </c>
      <c r="I17" s="331"/>
      <c r="J17" s="331"/>
      <c r="K17" s="176">
        <v>0</v>
      </c>
      <c r="L17" s="176">
        <f t="shared" ref="L17:N17" si="2">SUM(L18:L23)</f>
        <v>0</v>
      </c>
      <c r="M17" s="176">
        <f t="shared" si="2"/>
        <v>130525.6</v>
      </c>
      <c r="N17" s="176">
        <f t="shared" si="2"/>
        <v>200288.4</v>
      </c>
      <c r="O17" s="53"/>
      <c r="P17" s="53">
        <v>0</v>
      </c>
      <c r="Q17" s="53">
        <v>0</v>
      </c>
      <c r="R17" s="326" t="s">
        <v>106</v>
      </c>
      <c r="S17" s="326"/>
      <c r="T17" s="326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</row>
    <row r="18" spans="1:49" ht="25.5" customHeight="1" x14ac:dyDescent="0.2">
      <c r="A18" s="309"/>
      <c r="B18" s="324"/>
      <c r="C18" s="334"/>
      <c r="D18" s="324"/>
      <c r="E18" s="324"/>
      <c r="F18" s="324"/>
      <c r="G18" s="114" t="s">
        <v>6</v>
      </c>
      <c r="H18" s="158">
        <v>0</v>
      </c>
      <c r="I18" s="332"/>
      <c r="J18" s="332"/>
      <c r="K18" s="169">
        <v>0</v>
      </c>
      <c r="L18" s="169">
        <v>0</v>
      </c>
      <c r="M18" s="169">
        <v>0</v>
      </c>
      <c r="N18" s="169">
        <v>0</v>
      </c>
      <c r="O18" s="52">
        <v>0</v>
      </c>
      <c r="P18" s="52">
        <v>0</v>
      </c>
      <c r="Q18" s="52">
        <v>0</v>
      </c>
      <c r="R18" s="326"/>
      <c r="S18" s="326"/>
      <c r="T18" s="326"/>
    </row>
    <row r="19" spans="1:49" ht="36" customHeight="1" x14ac:dyDescent="0.2">
      <c r="A19" s="309"/>
      <c r="B19" s="324"/>
      <c r="C19" s="334"/>
      <c r="D19" s="324"/>
      <c r="E19" s="324"/>
      <c r="F19" s="324"/>
      <c r="G19" s="118" t="s">
        <v>7</v>
      </c>
      <c r="H19" s="158">
        <v>0</v>
      </c>
      <c r="I19" s="332"/>
      <c r="J19" s="332"/>
      <c r="K19" s="169">
        <v>0</v>
      </c>
      <c r="L19" s="169">
        <v>0</v>
      </c>
      <c r="M19" s="169">
        <v>0</v>
      </c>
      <c r="N19" s="169">
        <v>0</v>
      </c>
      <c r="O19" s="52">
        <v>0</v>
      </c>
      <c r="P19" s="52">
        <v>0</v>
      </c>
      <c r="Q19" s="52">
        <v>0</v>
      </c>
      <c r="R19" s="326"/>
      <c r="S19" s="326"/>
      <c r="T19" s="326"/>
    </row>
    <row r="20" spans="1:49" ht="23.25" customHeight="1" x14ac:dyDescent="0.2">
      <c r="A20" s="309"/>
      <c r="B20" s="324"/>
      <c r="C20" s="334"/>
      <c r="D20" s="324"/>
      <c r="E20" s="324"/>
      <c r="F20" s="324"/>
      <c r="G20" s="115" t="s">
        <v>8</v>
      </c>
      <c r="H20" s="158">
        <v>0</v>
      </c>
      <c r="I20" s="332"/>
      <c r="J20" s="332"/>
      <c r="K20" s="169">
        <v>0</v>
      </c>
      <c r="L20" s="169">
        <v>0</v>
      </c>
      <c r="M20" s="169">
        <v>0</v>
      </c>
      <c r="N20" s="169">
        <v>0</v>
      </c>
      <c r="O20" s="52">
        <v>0</v>
      </c>
      <c r="P20" s="52">
        <v>0</v>
      </c>
      <c r="Q20" s="52">
        <v>0</v>
      </c>
      <c r="R20" s="326"/>
      <c r="S20" s="326"/>
      <c r="T20" s="326"/>
    </row>
    <row r="21" spans="1:49" ht="36" customHeight="1" x14ac:dyDescent="0.2">
      <c r="A21" s="309"/>
      <c r="B21" s="324"/>
      <c r="C21" s="334"/>
      <c r="D21" s="324"/>
      <c r="E21" s="324"/>
      <c r="F21" s="324"/>
      <c r="G21" s="115" t="s">
        <v>9</v>
      </c>
      <c r="H21" s="158">
        <v>0</v>
      </c>
      <c r="I21" s="332"/>
      <c r="J21" s="332"/>
      <c r="K21" s="169">
        <v>0</v>
      </c>
      <c r="L21" s="169">
        <v>0</v>
      </c>
      <c r="M21" s="169">
        <v>0</v>
      </c>
      <c r="N21" s="169">
        <v>0</v>
      </c>
      <c r="O21" s="52">
        <v>0</v>
      </c>
      <c r="P21" s="52">
        <v>0</v>
      </c>
      <c r="Q21" s="52">
        <v>0</v>
      </c>
      <c r="R21" s="326"/>
      <c r="S21" s="326"/>
      <c r="T21" s="326"/>
    </row>
    <row r="22" spans="1:49" ht="26.25" customHeight="1" x14ac:dyDescent="0.2">
      <c r="A22" s="309"/>
      <c r="B22" s="324"/>
      <c r="C22" s="334"/>
      <c r="D22" s="324"/>
      <c r="E22" s="324"/>
      <c r="F22" s="324"/>
      <c r="G22" s="115" t="s">
        <v>130</v>
      </c>
      <c r="H22" s="158">
        <v>0</v>
      </c>
      <c r="I22" s="332"/>
      <c r="J22" s="332"/>
      <c r="K22" s="169">
        <v>0</v>
      </c>
      <c r="L22" s="169">
        <v>0</v>
      </c>
      <c r="M22" s="169">
        <v>0</v>
      </c>
      <c r="N22" s="169">
        <v>0</v>
      </c>
      <c r="O22" s="52">
        <v>0</v>
      </c>
      <c r="P22" s="52">
        <v>0</v>
      </c>
      <c r="Q22" s="52">
        <v>0</v>
      </c>
      <c r="R22" s="326"/>
      <c r="S22" s="326"/>
      <c r="T22" s="326"/>
    </row>
    <row r="23" spans="1:49" ht="26.25" customHeight="1" x14ac:dyDescent="0.2">
      <c r="A23" s="309"/>
      <c r="B23" s="324"/>
      <c r="C23" s="334"/>
      <c r="D23" s="324"/>
      <c r="E23" s="324"/>
      <c r="F23" s="324"/>
      <c r="G23" s="115" t="s">
        <v>24</v>
      </c>
      <c r="H23" s="158">
        <f t="shared" ref="H23" si="3">SUM(K23:Q23)</f>
        <v>330814</v>
      </c>
      <c r="I23" s="333"/>
      <c r="J23" s="333"/>
      <c r="K23" s="169">
        <f>' таблица 2'!G31-K16-K30</f>
        <v>0</v>
      </c>
      <c r="L23" s="169">
        <f>' таблица 2'!H31-L16-L30</f>
        <v>0</v>
      </c>
      <c r="M23" s="169">
        <f>' таблица 2'!I31-M16-M30</f>
        <v>130525.6</v>
      </c>
      <c r="N23" s="169">
        <f>' таблица 2'!J31-N16-N30</f>
        <v>200288.4</v>
      </c>
      <c r="O23" s="52">
        <v>0</v>
      </c>
      <c r="P23" s="52">
        <v>0</v>
      </c>
      <c r="Q23" s="52">
        <v>0</v>
      </c>
      <c r="R23" s="326"/>
      <c r="S23" s="326"/>
      <c r="T23" s="326"/>
    </row>
    <row r="24" spans="1:49" s="128" customFormat="1" ht="26.25" customHeight="1" x14ac:dyDescent="0.2">
      <c r="A24" s="321">
        <v>3</v>
      </c>
      <c r="B24" s="344" t="s">
        <v>278</v>
      </c>
      <c r="C24" s="347" t="s">
        <v>103</v>
      </c>
      <c r="D24" s="344">
        <v>3</v>
      </c>
      <c r="E24" s="347" t="s">
        <v>193</v>
      </c>
      <c r="F24" s="344" t="s">
        <v>102</v>
      </c>
      <c r="G24" s="178" t="s">
        <v>131</v>
      </c>
      <c r="H24" s="174">
        <f>SUM(K24:Q24)</f>
        <v>1280</v>
      </c>
      <c r="I24" s="179"/>
      <c r="J24" s="179"/>
      <c r="K24" s="176">
        <f>SUM(K25:K30)</f>
        <v>640</v>
      </c>
      <c r="L24" s="176">
        <f t="shared" ref="L24" si="4">SUM(L25:L30)</f>
        <v>640</v>
      </c>
      <c r="M24" s="159">
        <v>0</v>
      </c>
      <c r="N24" s="159">
        <v>0</v>
      </c>
      <c r="O24" s="53">
        <v>0</v>
      </c>
      <c r="P24" s="53">
        <v>0</v>
      </c>
      <c r="Q24" s="53">
        <v>0</v>
      </c>
      <c r="R24" s="335" t="s">
        <v>104</v>
      </c>
      <c r="S24" s="336"/>
      <c r="T24" s="33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</row>
    <row r="25" spans="1:49" ht="26.25" customHeight="1" x14ac:dyDescent="0.2">
      <c r="A25" s="322"/>
      <c r="B25" s="345"/>
      <c r="C25" s="348"/>
      <c r="D25" s="345"/>
      <c r="E25" s="348"/>
      <c r="F25" s="345"/>
      <c r="G25" s="115" t="s">
        <v>6</v>
      </c>
      <c r="H25" s="158">
        <v>0</v>
      </c>
      <c r="I25" s="170"/>
      <c r="J25" s="170"/>
      <c r="K25" s="159">
        <v>0</v>
      </c>
      <c r="L25" s="159">
        <v>0</v>
      </c>
      <c r="M25" s="159">
        <v>0</v>
      </c>
      <c r="N25" s="159">
        <v>0</v>
      </c>
      <c r="O25" s="53">
        <v>0</v>
      </c>
      <c r="P25" s="53">
        <v>0</v>
      </c>
      <c r="Q25" s="53">
        <v>0</v>
      </c>
      <c r="R25" s="338"/>
      <c r="S25" s="339"/>
      <c r="T25" s="340"/>
    </row>
    <row r="26" spans="1:49" ht="36" customHeight="1" x14ac:dyDescent="0.2">
      <c r="A26" s="322"/>
      <c r="B26" s="345"/>
      <c r="C26" s="348"/>
      <c r="D26" s="345"/>
      <c r="E26" s="348"/>
      <c r="F26" s="345"/>
      <c r="G26" s="115" t="s">
        <v>7</v>
      </c>
      <c r="H26" s="158">
        <v>0</v>
      </c>
      <c r="I26" s="161"/>
      <c r="J26" s="161"/>
      <c r="K26" s="159">
        <v>0</v>
      </c>
      <c r="L26" s="159">
        <v>0</v>
      </c>
      <c r="M26" s="159">
        <v>0</v>
      </c>
      <c r="N26" s="159">
        <v>0</v>
      </c>
      <c r="O26" s="53">
        <v>0</v>
      </c>
      <c r="P26" s="53">
        <v>0</v>
      </c>
      <c r="Q26" s="53">
        <v>0</v>
      </c>
      <c r="R26" s="338"/>
      <c r="S26" s="339"/>
      <c r="T26" s="340"/>
    </row>
    <row r="27" spans="1:49" ht="23.25" customHeight="1" x14ac:dyDescent="0.2">
      <c r="A27" s="322"/>
      <c r="B27" s="345"/>
      <c r="C27" s="348"/>
      <c r="D27" s="345"/>
      <c r="E27" s="348"/>
      <c r="F27" s="345"/>
      <c r="G27" s="115" t="s">
        <v>8</v>
      </c>
      <c r="H27" s="158">
        <f t="shared" ref="H27:H30" si="5">SUM(K27:Q27)</f>
        <v>1280</v>
      </c>
      <c r="I27" s="161"/>
      <c r="J27" s="161"/>
      <c r="K27" s="160">
        <v>640</v>
      </c>
      <c r="L27" s="159">
        <v>640</v>
      </c>
      <c r="M27" s="159">
        <v>0</v>
      </c>
      <c r="N27" s="159">
        <v>0</v>
      </c>
      <c r="O27" s="53">
        <v>0</v>
      </c>
      <c r="P27" s="53">
        <v>0</v>
      </c>
      <c r="Q27" s="53">
        <v>0</v>
      </c>
      <c r="R27" s="338"/>
      <c r="S27" s="339"/>
      <c r="T27" s="340"/>
    </row>
    <row r="28" spans="1:49" ht="36" customHeight="1" x14ac:dyDescent="0.2">
      <c r="A28" s="322"/>
      <c r="B28" s="345"/>
      <c r="C28" s="348"/>
      <c r="D28" s="345"/>
      <c r="E28" s="348"/>
      <c r="F28" s="345"/>
      <c r="G28" s="115" t="s">
        <v>9</v>
      </c>
      <c r="H28" s="158">
        <v>0</v>
      </c>
      <c r="I28" s="161"/>
      <c r="J28" s="161"/>
      <c r="K28" s="159">
        <v>0</v>
      </c>
      <c r="L28" s="159">
        <v>0</v>
      </c>
      <c r="M28" s="159">
        <v>0</v>
      </c>
      <c r="N28" s="159">
        <v>0</v>
      </c>
      <c r="O28" s="53">
        <v>0</v>
      </c>
      <c r="P28" s="53">
        <v>0</v>
      </c>
      <c r="Q28" s="53">
        <v>0</v>
      </c>
      <c r="R28" s="338"/>
      <c r="S28" s="339"/>
      <c r="T28" s="340"/>
    </row>
    <row r="29" spans="1:49" ht="21.75" customHeight="1" x14ac:dyDescent="0.2">
      <c r="A29" s="322"/>
      <c r="B29" s="345"/>
      <c r="C29" s="348"/>
      <c r="D29" s="345"/>
      <c r="E29" s="348"/>
      <c r="F29" s="345"/>
      <c r="G29" s="115" t="s">
        <v>130</v>
      </c>
      <c r="H29" s="158">
        <v>0</v>
      </c>
      <c r="I29" s="159"/>
      <c r="J29" s="159"/>
      <c r="K29" s="159">
        <v>0</v>
      </c>
      <c r="L29" s="159">
        <v>0</v>
      </c>
      <c r="M29" s="159">
        <v>0</v>
      </c>
      <c r="N29" s="159">
        <v>0</v>
      </c>
      <c r="O29" s="53">
        <v>0</v>
      </c>
      <c r="P29" s="53">
        <v>0</v>
      </c>
      <c r="Q29" s="53">
        <v>0</v>
      </c>
      <c r="R29" s="338"/>
      <c r="S29" s="339"/>
      <c r="T29" s="340"/>
    </row>
    <row r="30" spans="1:49" ht="26.25" customHeight="1" x14ac:dyDescent="0.2">
      <c r="A30" s="323"/>
      <c r="B30" s="346"/>
      <c r="C30" s="349"/>
      <c r="D30" s="346"/>
      <c r="E30" s="349"/>
      <c r="F30" s="346"/>
      <c r="G30" s="116" t="s">
        <v>24</v>
      </c>
      <c r="H30" s="158">
        <f t="shared" si="5"/>
        <v>0</v>
      </c>
      <c r="I30" s="161"/>
      <c r="J30" s="161"/>
      <c r="K30" s="159">
        <v>0</v>
      </c>
      <c r="L30" s="161"/>
      <c r="M30" s="159">
        <v>0</v>
      </c>
      <c r="N30" s="159">
        <v>0</v>
      </c>
      <c r="O30" s="53">
        <v>0</v>
      </c>
      <c r="P30" s="53">
        <v>0</v>
      </c>
      <c r="Q30" s="53">
        <v>0</v>
      </c>
      <c r="R30" s="341"/>
      <c r="S30" s="342"/>
      <c r="T30" s="343"/>
    </row>
    <row r="31" spans="1:49" s="97" customFormat="1" ht="25.5" customHeight="1" x14ac:dyDescent="0.2">
      <c r="A31" s="171"/>
      <c r="B31" s="180" t="s">
        <v>253</v>
      </c>
      <c r="C31" s="172"/>
      <c r="D31" s="168"/>
      <c r="E31" s="168"/>
      <c r="F31" s="168"/>
      <c r="G31" s="181"/>
      <c r="H31" s="182">
        <f>H10+H17+H24</f>
        <v>523769.8</v>
      </c>
      <c r="I31" s="182">
        <f t="shared" ref="I31:N31" si="6">I10+I17+I24</f>
        <v>0</v>
      </c>
      <c r="J31" s="182">
        <f t="shared" si="6"/>
        <v>0</v>
      </c>
      <c r="K31" s="182">
        <f t="shared" si="6"/>
        <v>88918</v>
      </c>
      <c r="L31" s="182">
        <f t="shared" si="6"/>
        <v>58193.490019999997</v>
      </c>
      <c r="M31" s="182">
        <f t="shared" si="6"/>
        <v>176369.90998</v>
      </c>
      <c r="N31" s="182">
        <f t="shared" si="6"/>
        <v>200288.4</v>
      </c>
      <c r="O31" s="183">
        <v>0</v>
      </c>
      <c r="P31" s="183">
        <v>0</v>
      </c>
      <c r="Q31" s="183">
        <v>0</v>
      </c>
      <c r="R31" s="327"/>
      <c r="S31" s="328"/>
      <c r="T31" s="329"/>
    </row>
    <row r="32" spans="1:49" ht="12" customHeight="1" x14ac:dyDescent="0.2">
      <c r="A32" s="330"/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30"/>
      <c r="Q32" s="330"/>
      <c r="R32" s="330"/>
      <c r="S32" s="330"/>
      <c r="T32" s="330"/>
    </row>
    <row r="33" spans="1:49" ht="9" customHeight="1" x14ac:dyDescent="0.2">
      <c r="A33" s="97"/>
      <c r="B33" s="97"/>
      <c r="C33" s="97"/>
      <c r="D33" s="97"/>
      <c r="E33" s="97"/>
      <c r="F33" s="97"/>
      <c r="G33" s="97"/>
      <c r="H33" s="97"/>
      <c r="I33" s="98">
        <f>I10+I29</f>
        <v>0</v>
      </c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</row>
    <row r="34" spans="1:49" s="131" customFormat="1" ht="36" customHeight="1" x14ac:dyDescent="0.25">
      <c r="A34" s="325" t="s">
        <v>280</v>
      </c>
      <c r="B34" s="325"/>
      <c r="C34" s="325"/>
      <c r="D34" s="325"/>
      <c r="E34" s="325"/>
      <c r="F34" s="325"/>
      <c r="G34" s="325"/>
      <c r="H34" s="325"/>
      <c r="I34" s="325"/>
      <c r="J34" s="325"/>
      <c r="K34" s="325"/>
      <c r="L34" s="325"/>
      <c r="M34" s="325"/>
      <c r="N34" s="325"/>
      <c r="O34" s="325"/>
      <c r="P34" s="325"/>
      <c r="Q34" s="325"/>
      <c r="R34" s="325"/>
      <c r="S34" s="325"/>
      <c r="T34" s="325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</row>
    <row r="35" spans="1:49" s="131" customFormat="1" ht="5.25" customHeight="1" x14ac:dyDescent="0.25"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</row>
    <row r="36" spans="1:49" s="131" customFormat="1" ht="20.25" customHeight="1" x14ac:dyDescent="0.25">
      <c r="A36" s="132" t="s">
        <v>279</v>
      </c>
      <c r="B36" s="306" t="s">
        <v>282</v>
      </c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</row>
    <row r="37" spans="1:49" s="131" customFormat="1" ht="22.5" customHeight="1" x14ac:dyDescent="0.25">
      <c r="A37" s="131" t="s">
        <v>276</v>
      </c>
      <c r="B37" s="307" t="s">
        <v>281</v>
      </c>
      <c r="C37" s="307"/>
      <c r="D37" s="307"/>
      <c r="E37" s="307"/>
      <c r="F37" s="307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</row>
    <row r="47" spans="1:49" s="112" customFormat="1" x14ac:dyDescent="0.2">
      <c r="G47" s="112" t="s">
        <v>274</v>
      </c>
      <c r="H47" s="113">
        <f>H31-' таблица 2'!F168</f>
        <v>0</v>
      </c>
      <c r="I47" s="113">
        <f>I31-' таблица 2'!G168</f>
        <v>-88918</v>
      </c>
      <c r="J47" s="113">
        <f>J31-' таблица 2'!H168</f>
        <v>-58193.490019999997</v>
      </c>
      <c r="K47" s="113">
        <f>K31-' таблица 2'!G168</f>
        <v>0</v>
      </c>
      <c r="L47" s="113">
        <f>L31-' таблица 2'!H168</f>
        <v>0</v>
      </c>
      <c r="M47" s="113">
        <f>M31-' таблица 2'!I168</f>
        <v>0</v>
      </c>
      <c r="N47" s="113">
        <f>N31-' таблица 2'!J168</f>
        <v>0</v>
      </c>
      <c r="O47" s="113">
        <f>O31-' таблица 2'!K168</f>
        <v>0</v>
      </c>
      <c r="P47" s="113">
        <f>P31-' таблица 2'!L168</f>
        <v>0</v>
      </c>
      <c r="Q47" s="113">
        <f>Q31-' таблица 2'!M168</f>
        <v>0</v>
      </c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</row>
    <row r="48" spans="1:49" x14ac:dyDescent="0.2">
      <c r="H48" s="111"/>
      <c r="I48" s="111"/>
      <c r="J48" s="111"/>
      <c r="K48" s="111"/>
      <c r="L48" s="111"/>
      <c r="M48" s="111"/>
      <c r="N48" s="111"/>
      <c r="O48" s="111"/>
      <c r="P48" s="111"/>
      <c r="Q48" s="111"/>
    </row>
    <row r="49" spans="8:17" x14ac:dyDescent="0.2">
      <c r="H49" s="111"/>
      <c r="I49" s="111"/>
      <c r="J49" s="111"/>
      <c r="K49" s="111"/>
      <c r="L49" s="111"/>
      <c r="M49" s="111"/>
      <c r="N49" s="111"/>
      <c r="O49" s="111"/>
      <c r="P49" s="111"/>
      <c r="Q49" s="111"/>
    </row>
    <row r="50" spans="8:17" x14ac:dyDescent="0.2">
      <c r="H50" s="111"/>
      <c r="I50" s="111"/>
      <c r="J50" s="111"/>
      <c r="K50" s="111"/>
      <c r="L50" s="111"/>
      <c r="M50" s="111"/>
      <c r="N50" s="111"/>
      <c r="O50" s="111"/>
      <c r="P50" s="111"/>
      <c r="Q50" s="111"/>
    </row>
    <row r="51" spans="8:17" x14ac:dyDescent="0.2">
      <c r="H51" s="111"/>
      <c r="I51" s="111"/>
      <c r="J51" s="111"/>
      <c r="K51" s="111"/>
      <c r="L51" s="111"/>
      <c r="M51" s="111"/>
      <c r="N51" s="111"/>
      <c r="O51" s="111"/>
      <c r="P51" s="111"/>
      <c r="Q51" s="111"/>
    </row>
    <row r="52" spans="8:17" x14ac:dyDescent="0.2">
      <c r="H52" s="111"/>
      <c r="I52" s="111"/>
      <c r="J52" s="111"/>
      <c r="K52" s="111"/>
      <c r="L52" s="111"/>
      <c r="M52" s="111"/>
      <c r="N52" s="111"/>
      <c r="O52" s="111"/>
      <c r="P52" s="111"/>
      <c r="Q52" s="111"/>
    </row>
    <row r="53" spans="8:17" x14ac:dyDescent="0.2">
      <c r="H53" s="111"/>
      <c r="I53" s="111"/>
      <c r="J53" s="111"/>
      <c r="K53" s="111"/>
      <c r="L53" s="111"/>
      <c r="M53" s="111"/>
      <c r="N53" s="111"/>
      <c r="O53" s="111"/>
      <c r="P53" s="111"/>
      <c r="Q53" s="111"/>
    </row>
    <row r="54" spans="8:17" x14ac:dyDescent="0.2">
      <c r="H54" s="111"/>
      <c r="I54" s="111"/>
      <c r="J54" s="111"/>
      <c r="K54" s="111"/>
      <c r="L54" s="111"/>
      <c r="M54" s="111"/>
      <c r="N54" s="111"/>
      <c r="O54" s="111"/>
      <c r="P54" s="111"/>
      <c r="Q54" s="111"/>
    </row>
  </sheetData>
  <mergeCells count="41">
    <mergeCell ref="R10:T16"/>
    <mergeCell ref="R24:T30"/>
    <mergeCell ref="B24:B30"/>
    <mergeCell ref="C24:C30"/>
    <mergeCell ref="D24:D30"/>
    <mergeCell ref="E24:E30"/>
    <mergeCell ref="F24:F30"/>
    <mergeCell ref="F17:F23"/>
    <mergeCell ref="F10:F16"/>
    <mergeCell ref="E17:E23"/>
    <mergeCell ref="E10:E16"/>
    <mergeCell ref="D10:D16"/>
    <mergeCell ref="C10:C16"/>
    <mergeCell ref="B10:B16"/>
    <mergeCell ref="A24:A30"/>
    <mergeCell ref="D17:D23"/>
    <mergeCell ref="A34:T34"/>
    <mergeCell ref="R17:T23"/>
    <mergeCell ref="R31:T31"/>
    <mergeCell ref="A32:T32"/>
    <mergeCell ref="J17:J23"/>
    <mergeCell ref="I17:I23"/>
    <mergeCell ref="A17:A23"/>
    <mergeCell ref="B17:B23"/>
    <mergeCell ref="C17:C23"/>
    <mergeCell ref="B36:T36"/>
    <mergeCell ref="B37:T37"/>
    <mergeCell ref="A2:T3"/>
    <mergeCell ref="G5:G8"/>
    <mergeCell ref="R5:T8"/>
    <mergeCell ref="R9:T9"/>
    <mergeCell ref="I7:Q7"/>
    <mergeCell ref="A5:A8"/>
    <mergeCell ref="B5:B8"/>
    <mergeCell ref="C5:C8"/>
    <mergeCell ref="E5:E8"/>
    <mergeCell ref="F5:F8"/>
    <mergeCell ref="D5:D8"/>
    <mergeCell ref="H5:Q6"/>
    <mergeCell ref="H7:H8"/>
    <mergeCell ref="A10:A16"/>
  </mergeCells>
  <pageMargins left="0.15748031496062992" right="0.15748031496062992" top="1.1811023622047245" bottom="0.15748031496062992" header="0.19685039370078741" footer="0.15748031496062992"/>
  <pageSetup paperSize="9" scale="3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6" tint="-0.249977111117893"/>
    <pageSetUpPr fitToPage="1"/>
  </sheetPr>
  <dimension ref="A1:U153"/>
  <sheetViews>
    <sheetView topLeftCell="A16" zoomScale="70" zoomScaleNormal="70" zoomScaleSheetLayoutView="72" workbookViewId="0">
      <selection activeCell="P49" sqref="P49"/>
    </sheetView>
  </sheetViews>
  <sheetFormatPr defaultRowHeight="18.75" x14ac:dyDescent="0.3"/>
  <cols>
    <col min="1" max="1" width="4.140625" style="99" bestFit="1" customWidth="1"/>
    <col min="2" max="2" width="19.42578125" style="99" customWidth="1"/>
    <col min="3" max="3" width="18.5703125" style="100" customWidth="1"/>
    <col min="4" max="4" width="28.85546875" style="100" customWidth="1"/>
    <col min="5" max="5" width="49.7109375" style="99" customWidth="1"/>
    <col min="6" max="6" width="14.7109375" style="99" customWidth="1"/>
    <col min="7" max="7" width="25.7109375" style="99" customWidth="1"/>
    <col min="8" max="8" width="26.5703125" style="162" customWidth="1"/>
    <col min="9" max="9" width="26.5703125" style="264" customWidth="1"/>
    <col min="10" max="16" width="26.5703125" style="162" customWidth="1"/>
    <col min="17" max="17" width="17.5703125" style="99" customWidth="1"/>
    <col min="18" max="18" width="58" style="99" customWidth="1"/>
    <col min="19" max="16384" width="9.140625" style="99"/>
  </cols>
  <sheetData>
    <row r="1" spans="1:17" ht="12.75" customHeight="1" x14ac:dyDescent="0.3"/>
    <row r="2" spans="1:17" x14ac:dyDescent="0.3">
      <c r="N2" s="379" t="s">
        <v>283</v>
      </c>
      <c r="O2" s="379"/>
      <c r="P2" s="379"/>
    </row>
    <row r="3" spans="1:17" x14ac:dyDescent="0.3">
      <c r="N3" s="379" t="s">
        <v>284</v>
      </c>
      <c r="O3" s="379"/>
      <c r="P3" s="379"/>
    </row>
    <row r="4" spans="1:17" x14ac:dyDescent="0.3">
      <c r="N4" s="379" t="s">
        <v>285</v>
      </c>
      <c r="O4" s="379"/>
      <c r="P4" s="379"/>
    </row>
    <row r="5" spans="1:17" ht="15.75" customHeight="1" x14ac:dyDescent="0.3">
      <c r="N5" s="379" t="s">
        <v>286</v>
      </c>
      <c r="O5" s="379"/>
      <c r="P5" s="379"/>
    </row>
    <row r="6" spans="1:17" ht="24.75" customHeight="1" x14ac:dyDescent="0.3">
      <c r="O6" s="163"/>
    </row>
    <row r="7" spans="1:17" ht="20.25" x14ac:dyDescent="0.3">
      <c r="P7" s="164" t="s">
        <v>287</v>
      </c>
      <c r="Q7" s="134"/>
    </row>
    <row r="8" spans="1:17" ht="15.75" customHeight="1" x14ac:dyDescent="0.3">
      <c r="A8" s="385" t="s">
        <v>254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119"/>
    </row>
    <row r="9" spans="1:17" ht="15.75" customHeight="1" x14ac:dyDescent="0.3">
      <c r="A9" s="102"/>
    </row>
    <row r="10" spans="1:17" ht="18.75" customHeight="1" x14ac:dyDescent="0.3">
      <c r="A10" s="380" t="s">
        <v>139</v>
      </c>
      <c r="B10" s="380" t="s">
        <v>255</v>
      </c>
      <c r="C10" s="380" t="s">
        <v>256</v>
      </c>
      <c r="D10" s="380" t="s">
        <v>257</v>
      </c>
      <c r="E10" s="380" t="s">
        <v>258</v>
      </c>
      <c r="F10" s="380" t="s">
        <v>137</v>
      </c>
      <c r="G10" s="380" t="s">
        <v>136</v>
      </c>
      <c r="H10" s="382" t="s">
        <v>135</v>
      </c>
      <c r="I10" s="383"/>
      <c r="J10" s="383"/>
      <c r="K10" s="383"/>
      <c r="L10" s="383"/>
      <c r="M10" s="383"/>
      <c r="N10" s="383"/>
      <c r="O10" s="383"/>
      <c r="P10" s="384"/>
      <c r="Q10" s="135"/>
    </row>
    <row r="11" spans="1:17" s="101" customFormat="1" ht="56.25" customHeight="1" x14ac:dyDescent="0.3">
      <c r="A11" s="381"/>
      <c r="B11" s="381"/>
      <c r="C11" s="381"/>
      <c r="D11" s="381"/>
      <c r="E11" s="381"/>
      <c r="F11" s="381"/>
      <c r="G11" s="381"/>
      <c r="H11" s="165" t="s">
        <v>34</v>
      </c>
      <c r="I11" s="265" t="s">
        <v>1</v>
      </c>
      <c r="J11" s="165" t="s">
        <v>0</v>
      </c>
      <c r="K11" s="165" t="s">
        <v>159</v>
      </c>
      <c r="L11" s="165" t="s">
        <v>160</v>
      </c>
      <c r="M11" s="165" t="s">
        <v>161</v>
      </c>
      <c r="N11" s="165" t="s">
        <v>191</v>
      </c>
      <c r="O11" s="165" t="s">
        <v>259</v>
      </c>
      <c r="P11" s="165" t="s">
        <v>138</v>
      </c>
      <c r="Q11" s="136"/>
    </row>
    <row r="12" spans="1:17" ht="18" customHeight="1" x14ac:dyDescent="0.3">
      <c r="A12" s="137">
        <v>1</v>
      </c>
      <c r="B12" s="137">
        <v>2</v>
      </c>
      <c r="C12" s="137">
        <v>3</v>
      </c>
      <c r="D12" s="137">
        <v>4</v>
      </c>
      <c r="E12" s="137">
        <v>5</v>
      </c>
      <c r="F12" s="137">
        <v>6</v>
      </c>
      <c r="G12" s="137">
        <v>7</v>
      </c>
      <c r="H12" s="167">
        <v>8</v>
      </c>
      <c r="I12" s="267">
        <v>9</v>
      </c>
      <c r="J12" s="167">
        <v>10</v>
      </c>
      <c r="K12" s="167">
        <v>11</v>
      </c>
      <c r="L12" s="167">
        <v>12</v>
      </c>
      <c r="M12" s="167">
        <v>13</v>
      </c>
      <c r="N12" s="167">
        <v>14</v>
      </c>
      <c r="O12" s="167">
        <v>15</v>
      </c>
      <c r="P12" s="167">
        <v>16</v>
      </c>
      <c r="Q12" s="135"/>
    </row>
    <row r="13" spans="1:17" ht="27" customHeight="1" x14ac:dyDescent="0.3">
      <c r="A13" s="358" t="s">
        <v>288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60"/>
      <c r="Q13" s="136"/>
    </row>
    <row r="14" spans="1:17" s="101" customFormat="1" ht="19.5" customHeight="1" x14ac:dyDescent="0.3">
      <c r="A14" s="355"/>
      <c r="B14" s="355" t="s">
        <v>289</v>
      </c>
      <c r="C14" s="355" t="s">
        <v>290</v>
      </c>
      <c r="D14" s="361" t="s">
        <v>291</v>
      </c>
      <c r="E14" s="364"/>
      <c r="F14" s="355" t="s">
        <v>122</v>
      </c>
      <c r="G14" s="138" t="s">
        <v>131</v>
      </c>
      <c r="H14" s="166">
        <v>0</v>
      </c>
      <c r="I14" s="166">
        <v>0</v>
      </c>
      <c r="J14" s="166">
        <v>0</v>
      </c>
      <c r="K14" s="166">
        <v>0</v>
      </c>
      <c r="L14" s="166">
        <v>0</v>
      </c>
      <c r="M14" s="166">
        <v>0</v>
      </c>
      <c r="N14" s="166">
        <v>0</v>
      </c>
      <c r="O14" s="166">
        <v>0</v>
      </c>
      <c r="P14" s="166">
        <v>0</v>
      </c>
      <c r="Q14" s="139"/>
    </row>
    <row r="15" spans="1:17" ht="19.5" customHeight="1" x14ac:dyDescent="0.3">
      <c r="A15" s="356"/>
      <c r="B15" s="356"/>
      <c r="C15" s="356"/>
      <c r="D15" s="362"/>
      <c r="E15" s="365"/>
      <c r="F15" s="356"/>
      <c r="G15" s="140" t="s">
        <v>6</v>
      </c>
      <c r="H15" s="166">
        <v>0</v>
      </c>
      <c r="I15" s="166">
        <v>0</v>
      </c>
      <c r="J15" s="166">
        <v>0</v>
      </c>
      <c r="K15" s="166">
        <v>0</v>
      </c>
      <c r="L15" s="166">
        <v>0</v>
      </c>
      <c r="M15" s="166">
        <v>0</v>
      </c>
      <c r="N15" s="166">
        <v>0</v>
      </c>
      <c r="O15" s="166">
        <f>'[1] таблица 2'!M12+'[1] таблица 2'!M33+'[1] таблица 2'!M40+'[1] таблица 2'!M47+'[1] таблица 2'!M54</f>
        <v>0</v>
      </c>
      <c r="P15" s="166">
        <v>0</v>
      </c>
      <c r="Q15" s="141"/>
    </row>
    <row r="16" spans="1:17" ht="15.75" customHeight="1" x14ac:dyDescent="0.3">
      <c r="A16" s="356"/>
      <c r="B16" s="356"/>
      <c r="C16" s="356"/>
      <c r="D16" s="362"/>
      <c r="E16" s="365"/>
      <c r="F16" s="356"/>
      <c r="G16" s="140" t="s">
        <v>7</v>
      </c>
      <c r="H16" s="166">
        <v>0</v>
      </c>
      <c r="I16" s="166">
        <v>0</v>
      </c>
      <c r="J16" s="166">
        <v>0</v>
      </c>
      <c r="K16" s="166">
        <v>0</v>
      </c>
      <c r="L16" s="166">
        <v>0</v>
      </c>
      <c r="M16" s="166">
        <v>0</v>
      </c>
      <c r="N16" s="166">
        <v>0</v>
      </c>
      <c r="O16" s="166">
        <f>'[1] таблица 2'!M13+'[1] таблица 2'!M34+'[1] таблица 2'!M41+'[1] таблица 2'!M48+'[1] таблица 2'!M55</f>
        <v>0</v>
      </c>
      <c r="P16" s="166">
        <v>0</v>
      </c>
      <c r="Q16" s="141"/>
    </row>
    <row r="17" spans="1:21" ht="26.25" customHeight="1" x14ac:dyDescent="0.3">
      <c r="A17" s="356"/>
      <c r="B17" s="356"/>
      <c r="C17" s="356"/>
      <c r="D17" s="362"/>
      <c r="E17" s="365"/>
      <c r="F17" s="356"/>
      <c r="G17" s="140" t="s">
        <v>8</v>
      </c>
      <c r="H17" s="166">
        <v>0</v>
      </c>
      <c r="I17" s="166">
        <v>0</v>
      </c>
      <c r="J17" s="166">
        <v>0</v>
      </c>
      <c r="K17" s="166">
        <v>0</v>
      </c>
      <c r="L17" s="166">
        <v>0</v>
      </c>
      <c r="M17" s="166">
        <v>0</v>
      </c>
      <c r="N17" s="166">
        <v>0</v>
      </c>
      <c r="O17" s="166">
        <v>0</v>
      </c>
      <c r="P17" s="166">
        <v>0</v>
      </c>
      <c r="Q17" s="141"/>
    </row>
    <row r="18" spans="1:21" ht="52.5" customHeight="1" x14ac:dyDescent="0.3">
      <c r="A18" s="356"/>
      <c r="B18" s="356"/>
      <c r="C18" s="356"/>
      <c r="D18" s="362"/>
      <c r="E18" s="365"/>
      <c r="F18" s="356"/>
      <c r="G18" s="142" t="s">
        <v>9</v>
      </c>
      <c r="H18" s="166">
        <v>0</v>
      </c>
      <c r="I18" s="166">
        <v>0</v>
      </c>
      <c r="J18" s="166">
        <v>0</v>
      </c>
      <c r="K18" s="166">
        <v>0</v>
      </c>
      <c r="L18" s="166">
        <v>0</v>
      </c>
      <c r="M18" s="166">
        <v>0</v>
      </c>
      <c r="N18" s="166">
        <v>0</v>
      </c>
      <c r="O18" s="166">
        <v>0</v>
      </c>
      <c r="P18" s="166">
        <v>0</v>
      </c>
      <c r="Q18" s="141"/>
    </row>
    <row r="19" spans="1:21" ht="18.75" customHeight="1" x14ac:dyDescent="0.3">
      <c r="A19" s="356"/>
      <c r="B19" s="356"/>
      <c r="C19" s="356"/>
      <c r="D19" s="362"/>
      <c r="E19" s="365"/>
      <c r="F19" s="356"/>
      <c r="G19" s="140" t="s">
        <v>262</v>
      </c>
      <c r="H19" s="166">
        <v>0</v>
      </c>
      <c r="I19" s="166">
        <v>0</v>
      </c>
      <c r="J19" s="166">
        <v>0</v>
      </c>
      <c r="K19" s="166">
        <v>0</v>
      </c>
      <c r="L19" s="166">
        <v>0</v>
      </c>
      <c r="M19" s="166">
        <v>0</v>
      </c>
      <c r="N19" s="166">
        <v>0</v>
      </c>
      <c r="O19" s="166">
        <v>0</v>
      </c>
      <c r="P19" s="166">
        <v>0</v>
      </c>
      <c r="Q19" s="353"/>
      <c r="R19" s="354"/>
      <c r="S19" s="354"/>
      <c r="T19" s="354"/>
      <c r="U19" s="354"/>
    </row>
    <row r="20" spans="1:21" ht="20.25" customHeight="1" x14ac:dyDescent="0.3">
      <c r="A20" s="356"/>
      <c r="B20" s="356"/>
      <c r="C20" s="357"/>
      <c r="D20" s="363"/>
      <c r="E20" s="366"/>
      <c r="F20" s="357"/>
      <c r="G20" s="140" t="s">
        <v>24</v>
      </c>
      <c r="H20" s="166">
        <v>0</v>
      </c>
      <c r="I20" s="166">
        <v>0</v>
      </c>
      <c r="J20" s="166">
        <v>0</v>
      </c>
      <c r="K20" s="166">
        <v>0</v>
      </c>
      <c r="L20" s="166">
        <v>0</v>
      </c>
      <c r="M20" s="166">
        <v>0</v>
      </c>
      <c r="N20" s="166">
        <v>0</v>
      </c>
      <c r="O20" s="166">
        <v>0</v>
      </c>
      <c r="P20" s="166">
        <v>0</v>
      </c>
      <c r="Q20" s="141"/>
    </row>
    <row r="21" spans="1:21" s="101" customFormat="1" ht="18.75" customHeight="1" x14ac:dyDescent="0.3">
      <c r="A21" s="356"/>
      <c r="B21" s="356"/>
      <c r="C21" s="367"/>
      <c r="D21" s="361" t="s">
        <v>292</v>
      </c>
      <c r="E21" s="355"/>
      <c r="F21" s="355" t="s">
        <v>122</v>
      </c>
      <c r="G21" s="138" t="s">
        <v>131</v>
      </c>
      <c r="H21" s="166">
        <v>0</v>
      </c>
      <c r="I21" s="166">
        <v>0</v>
      </c>
      <c r="J21" s="166">
        <v>0</v>
      </c>
      <c r="K21" s="166">
        <v>0</v>
      </c>
      <c r="L21" s="166">
        <v>0</v>
      </c>
      <c r="M21" s="166">
        <v>0</v>
      </c>
      <c r="N21" s="166">
        <v>0</v>
      </c>
      <c r="O21" s="166">
        <v>0</v>
      </c>
      <c r="P21" s="166">
        <v>0</v>
      </c>
      <c r="Q21" s="139"/>
    </row>
    <row r="22" spans="1:21" ht="27" customHeight="1" x14ac:dyDescent="0.3">
      <c r="A22" s="356"/>
      <c r="B22" s="356"/>
      <c r="C22" s="368"/>
      <c r="D22" s="362"/>
      <c r="E22" s="356"/>
      <c r="F22" s="356"/>
      <c r="G22" s="140" t="s">
        <v>6</v>
      </c>
      <c r="H22" s="166">
        <v>0</v>
      </c>
      <c r="I22" s="166">
        <v>0</v>
      </c>
      <c r="J22" s="166">
        <v>0</v>
      </c>
      <c r="K22" s="166">
        <v>0</v>
      </c>
      <c r="L22" s="166">
        <v>0</v>
      </c>
      <c r="M22" s="166">
        <v>0</v>
      </c>
      <c r="N22" s="166">
        <v>0</v>
      </c>
      <c r="O22" s="166">
        <f>'[1] таблица 2'!M19+'[1] таблица 2'!M26</f>
        <v>0</v>
      </c>
      <c r="P22" s="166">
        <v>0</v>
      </c>
      <c r="Q22" s="141"/>
    </row>
    <row r="23" spans="1:21" ht="37.5" customHeight="1" x14ac:dyDescent="0.3">
      <c r="A23" s="356"/>
      <c r="B23" s="356"/>
      <c r="C23" s="368"/>
      <c r="D23" s="362"/>
      <c r="E23" s="356"/>
      <c r="F23" s="356"/>
      <c r="G23" s="140" t="s">
        <v>7</v>
      </c>
      <c r="H23" s="166">
        <v>0</v>
      </c>
      <c r="I23" s="166">
        <v>0</v>
      </c>
      <c r="J23" s="166">
        <v>0</v>
      </c>
      <c r="K23" s="166">
        <v>0</v>
      </c>
      <c r="L23" s="166">
        <v>0</v>
      </c>
      <c r="M23" s="166">
        <v>0</v>
      </c>
      <c r="N23" s="166">
        <v>0</v>
      </c>
      <c r="O23" s="166">
        <f>'[1] таблица 2'!M20+'[1] таблица 2'!M27</f>
        <v>0</v>
      </c>
      <c r="P23" s="166">
        <v>0</v>
      </c>
      <c r="Q23" s="141"/>
    </row>
    <row r="24" spans="1:21" ht="21.75" customHeight="1" x14ac:dyDescent="0.3">
      <c r="A24" s="356"/>
      <c r="B24" s="356"/>
      <c r="C24" s="368"/>
      <c r="D24" s="362"/>
      <c r="E24" s="356"/>
      <c r="F24" s="356"/>
      <c r="G24" s="140" t="s">
        <v>8</v>
      </c>
      <c r="H24" s="166">
        <v>0</v>
      </c>
      <c r="I24" s="166">
        <v>0</v>
      </c>
      <c r="J24" s="166">
        <v>0</v>
      </c>
      <c r="K24" s="166">
        <v>0</v>
      </c>
      <c r="L24" s="166">
        <v>0</v>
      </c>
      <c r="M24" s="166">
        <v>0</v>
      </c>
      <c r="N24" s="166">
        <v>0</v>
      </c>
      <c r="O24" s="166">
        <f>'[1] таблица 2'!M21+'[1] таблица 2'!M28</f>
        <v>0</v>
      </c>
      <c r="P24" s="166">
        <v>0</v>
      </c>
      <c r="Q24" s="141"/>
    </row>
    <row r="25" spans="1:21" ht="57" customHeight="1" x14ac:dyDescent="0.3">
      <c r="A25" s="356"/>
      <c r="B25" s="356"/>
      <c r="C25" s="368"/>
      <c r="D25" s="362"/>
      <c r="E25" s="356"/>
      <c r="F25" s="356"/>
      <c r="G25" s="142" t="s">
        <v>9</v>
      </c>
      <c r="H25" s="166">
        <v>0</v>
      </c>
      <c r="I25" s="166">
        <v>0</v>
      </c>
      <c r="J25" s="166">
        <v>0</v>
      </c>
      <c r="K25" s="166">
        <v>0</v>
      </c>
      <c r="L25" s="166">
        <v>0</v>
      </c>
      <c r="M25" s="166">
        <v>0</v>
      </c>
      <c r="N25" s="166">
        <v>0</v>
      </c>
      <c r="O25" s="166">
        <f>'[1] таблица 2'!M22+'[1] таблица 2'!M29</f>
        <v>0</v>
      </c>
      <c r="P25" s="166">
        <v>0</v>
      </c>
      <c r="Q25" s="141"/>
    </row>
    <row r="26" spans="1:21" ht="23.25" customHeight="1" x14ac:dyDescent="0.3">
      <c r="A26" s="356"/>
      <c r="B26" s="356"/>
      <c r="C26" s="368"/>
      <c r="D26" s="362"/>
      <c r="E26" s="356"/>
      <c r="F26" s="356"/>
      <c r="G26" s="140" t="s">
        <v>262</v>
      </c>
      <c r="H26" s="166">
        <v>0</v>
      </c>
      <c r="I26" s="166">
        <v>0</v>
      </c>
      <c r="J26" s="166">
        <v>0</v>
      </c>
      <c r="K26" s="166">
        <v>0</v>
      </c>
      <c r="L26" s="166">
        <v>0</v>
      </c>
      <c r="M26" s="166">
        <v>0</v>
      </c>
      <c r="N26" s="166">
        <v>0</v>
      </c>
      <c r="O26" s="166">
        <f>'[1] таблица 2'!M23+'[1] таблица 2'!M30</f>
        <v>0</v>
      </c>
      <c r="P26" s="166">
        <v>0</v>
      </c>
      <c r="Q26" s="141"/>
    </row>
    <row r="27" spans="1:21" ht="23.25" customHeight="1" x14ac:dyDescent="0.3">
      <c r="A27" s="357"/>
      <c r="B27" s="357"/>
      <c r="C27" s="369"/>
      <c r="D27" s="363"/>
      <c r="E27" s="357"/>
      <c r="F27" s="357"/>
      <c r="G27" s="140" t="s">
        <v>24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v>0</v>
      </c>
      <c r="N27" s="166">
        <v>0</v>
      </c>
      <c r="O27" s="166"/>
      <c r="P27" s="166">
        <v>0</v>
      </c>
      <c r="Q27" s="141"/>
    </row>
    <row r="28" spans="1:21" s="101" customFormat="1" ht="20.25" customHeight="1" x14ac:dyDescent="0.3">
      <c r="A28" s="370" t="s">
        <v>293</v>
      </c>
      <c r="B28" s="371"/>
      <c r="C28" s="371"/>
      <c r="D28" s="371"/>
      <c r="E28" s="371"/>
      <c r="F28" s="372"/>
      <c r="G28" s="138" t="s">
        <v>131</v>
      </c>
      <c r="H28" s="166">
        <v>0</v>
      </c>
      <c r="I28" s="166">
        <v>0</v>
      </c>
      <c r="J28" s="166">
        <v>0</v>
      </c>
      <c r="K28" s="166">
        <v>0</v>
      </c>
      <c r="L28" s="166">
        <v>0</v>
      </c>
      <c r="M28" s="166">
        <v>0</v>
      </c>
      <c r="N28" s="166">
        <v>0</v>
      </c>
      <c r="O28" s="165">
        <f>SUM(O29:O34)</f>
        <v>0</v>
      </c>
      <c r="P28" s="166">
        <v>0</v>
      </c>
      <c r="Q28" s="139"/>
    </row>
    <row r="29" spans="1:21" ht="15.75" customHeight="1" x14ac:dyDescent="0.3">
      <c r="A29" s="373"/>
      <c r="B29" s="374"/>
      <c r="C29" s="374"/>
      <c r="D29" s="374"/>
      <c r="E29" s="374"/>
      <c r="F29" s="375"/>
      <c r="G29" s="140" t="s">
        <v>6</v>
      </c>
      <c r="H29" s="166">
        <v>0</v>
      </c>
      <c r="I29" s="166">
        <v>0</v>
      </c>
      <c r="J29" s="166">
        <v>0</v>
      </c>
      <c r="K29" s="166">
        <v>0</v>
      </c>
      <c r="L29" s="166">
        <v>0</v>
      </c>
      <c r="M29" s="166">
        <v>0</v>
      </c>
      <c r="N29" s="166">
        <v>0</v>
      </c>
      <c r="O29" s="166">
        <f t="shared" ref="N29:P34" si="0">O15+O22</f>
        <v>0</v>
      </c>
      <c r="P29" s="166">
        <v>0</v>
      </c>
      <c r="Q29" s="141"/>
    </row>
    <row r="30" spans="1:21" ht="37.5" customHeight="1" x14ac:dyDescent="0.3">
      <c r="A30" s="373"/>
      <c r="B30" s="374"/>
      <c r="C30" s="374"/>
      <c r="D30" s="374"/>
      <c r="E30" s="374"/>
      <c r="F30" s="375"/>
      <c r="G30" s="140" t="s">
        <v>7</v>
      </c>
      <c r="H30" s="166">
        <v>0</v>
      </c>
      <c r="I30" s="166">
        <v>0</v>
      </c>
      <c r="J30" s="166">
        <v>0</v>
      </c>
      <c r="K30" s="166">
        <v>0</v>
      </c>
      <c r="L30" s="166">
        <v>0</v>
      </c>
      <c r="M30" s="166">
        <v>0</v>
      </c>
      <c r="N30" s="166">
        <v>0</v>
      </c>
      <c r="O30" s="166">
        <f t="shared" si="0"/>
        <v>0</v>
      </c>
      <c r="P30" s="166">
        <v>0</v>
      </c>
      <c r="Q30" s="141"/>
    </row>
    <row r="31" spans="1:21" ht="18.75" customHeight="1" x14ac:dyDescent="0.3">
      <c r="A31" s="373"/>
      <c r="B31" s="374"/>
      <c r="C31" s="374"/>
      <c r="D31" s="374"/>
      <c r="E31" s="374"/>
      <c r="F31" s="375"/>
      <c r="G31" s="140" t="s">
        <v>8</v>
      </c>
      <c r="H31" s="166">
        <v>0</v>
      </c>
      <c r="I31" s="166">
        <v>0</v>
      </c>
      <c r="J31" s="166">
        <v>0</v>
      </c>
      <c r="K31" s="166">
        <v>0</v>
      </c>
      <c r="L31" s="166">
        <v>0</v>
      </c>
      <c r="M31" s="166">
        <v>0</v>
      </c>
      <c r="N31" s="166">
        <f t="shared" si="0"/>
        <v>0</v>
      </c>
      <c r="O31" s="166">
        <f t="shared" si="0"/>
        <v>0</v>
      </c>
      <c r="P31" s="166">
        <v>0</v>
      </c>
      <c r="Q31" s="141"/>
    </row>
    <row r="32" spans="1:21" ht="54" customHeight="1" x14ac:dyDescent="0.3">
      <c r="A32" s="373"/>
      <c r="B32" s="374"/>
      <c r="C32" s="374"/>
      <c r="D32" s="374"/>
      <c r="E32" s="374"/>
      <c r="F32" s="375"/>
      <c r="G32" s="140" t="s">
        <v>9</v>
      </c>
      <c r="H32" s="166">
        <v>0</v>
      </c>
      <c r="I32" s="166">
        <v>0</v>
      </c>
      <c r="J32" s="166">
        <v>0</v>
      </c>
      <c r="K32" s="166">
        <v>0</v>
      </c>
      <c r="L32" s="166">
        <v>0</v>
      </c>
      <c r="M32" s="166">
        <v>0</v>
      </c>
      <c r="N32" s="166">
        <f t="shared" si="0"/>
        <v>0</v>
      </c>
      <c r="O32" s="166">
        <f t="shared" si="0"/>
        <v>0</v>
      </c>
      <c r="P32" s="166">
        <f t="shared" si="0"/>
        <v>0</v>
      </c>
      <c r="Q32" s="141"/>
    </row>
    <row r="33" spans="1:21" ht="20.25" customHeight="1" x14ac:dyDescent="0.3">
      <c r="A33" s="373"/>
      <c r="B33" s="374"/>
      <c r="C33" s="374"/>
      <c r="D33" s="374"/>
      <c r="E33" s="374"/>
      <c r="F33" s="375"/>
      <c r="G33" s="140" t="s">
        <v>262</v>
      </c>
      <c r="H33" s="166">
        <v>0</v>
      </c>
      <c r="I33" s="166">
        <v>0</v>
      </c>
      <c r="J33" s="166">
        <v>0</v>
      </c>
      <c r="K33" s="166">
        <v>0</v>
      </c>
      <c r="L33" s="166">
        <v>0</v>
      </c>
      <c r="M33" s="166">
        <v>0</v>
      </c>
      <c r="N33" s="166">
        <f t="shared" si="0"/>
        <v>0</v>
      </c>
      <c r="O33" s="166">
        <f t="shared" si="0"/>
        <v>0</v>
      </c>
      <c r="P33" s="166">
        <f t="shared" si="0"/>
        <v>0</v>
      </c>
      <c r="Q33" s="141"/>
    </row>
    <row r="34" spans="1:21" x14ac:dyDescent="0.3">
      <c r="A34" s="376"/>
      <c r="B34" s="377"/>
      <c r="C34" s="377"/>
      <c r="D34" s="377"/>
      <c r="E34" s="377"/>
      <c r="F34" s="378"/>
      <c r="G34" s="140" t="s">
        <v>24</v>
      </c>
      <c r="H34" s="166">
        <v>0</v>
      </c>
      <c r="I34" s="166">
        <v>0</v>
      </c>
      <c r="J34" s="166">
        <v>0</v>
      </c>
      <c r="K34" s="166">
        <v>0</v>
      </c>
      <c r="L34" s="166">
        <v>0</v>
      </c>
      <c r="M34" s="166">
        <v>0</v>
      </c>
      <c r="N34" s="166">
        <f t="shared" si="0"/>
        <v>0</v>
      </c>
      <c r="O34" s="166">
        <f>O20+O27</f>
        <v>0</v>
      </c>
      <c r="P34" s="166">
        <f t="shared" si="0"/>
        <v>0</v>
      </c>
      <c r="Q34" s="141"/>
    </row>
    <row r="35" spans="1:21" ht="18.75" customHeight="1" x14ac:dyDescent="0.3">
      <c r="A35" s="358" t="s">
        <v>134</v>
      </c>
      <c r="B35" s="359"/>
      <c r="C35" s="359"/>
      <c r="D35" s="359"/>
      <c r="E35" s="359"/>
      <c r="F35" s="359"/>
      <c r="G35" s="359"/>
      <c r="H35" s="359"/>
      <c r="I35" s="359"/>
      <c r="J35" s="359"/>
      <c r="K35" s="359"/>
      <c r="L35" s="359"/>
      <c r="M35" s="359"/>
      <c r="N35" s="359"/>
      <c r="O35" s="359"/>
      <c r="P35" s="360"/>
      <c r="Q35" s="141"/>
    </row>
    <row r="36" spans="1:21" s="101" customFormat="1" ht="20.25" customHeight="1" x14ac:dyDescent="0.3">
      <c r="A36" s="355"/>
      <c r="B36" s="355" t="s">
        <v>263</v>
      </c>
      <c r="C36" s="355" t="s">
        <v>294</v>
      </c>
      <c r="D36" s="355" t="s">
        <v>295</v>
      </c>
      <c r="E36" s="364" t="s">
        <v>260</v>
      </c>
      <c r="F36" s="355" t="s">
        <v>122</v>
      </c>
      <c r="G36" s="138" t="s">
        <v>131</v>
      </c>
      <c r="H36" s="208">
        <f>SUM(H37:H42)</f>
        <v>1030126.8703939791</v>
      </c>
      <c r="I36" s="265">
        <f t="shared" ref="I36:P36" si="1">SUM(I37:I42)</f>
        <v>146691.30295000001</v>
      </c>
      <c r="J36" s="208">
        <f t="shared" si="1"/>
        <v>105452.02454999999</v>
      </c>
      <c r="K36" s="208">
        <f t="shared" si="1"/>
        <v>194237.38249999998</v>
      </c>
      <c r="L36" s="208">
        <f t="shared" si="1"/>
        <v>194446.03620079998</v>
      </c>
      <c r="M36" s="208">
        <f t="shared" si="1"/>
        <v>197530.63382954639</v>
      </c>
      <c r="N36" s="208">
        <f t="shared" si="1"/>
        <v>191769.49036363274</v>
      </c>
      <c r="O36" s="165">
        <f t="shared" si="1"/>
        <v>0</v>
      </c>
      <c r="P36" s="165">
        <f t="shared" si="1"/>
        <v>0</v>
      </c>
      <c r="Q36" s="139"/>
    </row>
    <row r="37" spans="1:21" ht="26.25" customHeight="1" x14ac:dyDescent="0.3">
      <c r="A37" s="356"/>
      <c r="B37" s="356"/>
      <c r="C37" s="356"/>
      <c r="D37" s="356"/>
      <c r="E37" s="365"/>
      <c r="F37" s="356"/>
      <c r="G37" s="140" t="s">
        <v>6</v>
      </c>
      <c r="H37" s="208">
        <f>SUM(I37:P37)</f>
        <v>0</v>
      </c>
      <c r="I37" s="266">
        <f>' таблица 2'!G12+' таблица 2'!G33+' таблица 2'!G40+' таблица 2'!G47+' таблица 2'!G61</f>
        <v>0</v>
      </c>
      <c r="J37" s="211">
        <f>' таблица 2'!H12+' таблица 2'!H33+' таблица 2'!H40+' таблица 2'!H47+' таблица 2'!H61</f>
        <v>0</v>
      </c>
      <c r="K37" s="211">
        <f>' таблица 2'!I12+' таблица 2'!I33+' таблица 2'!I40+' таблица 2'!I47+' таблица 2'!I61</f>
        <v>0</v>
      </c>
      <c r="L37" s="211">
        <f>' таблица 2'!J12+' таблица 2'!J33+' таблица 2'!J40+' таблица 2'!J47+' таблица 2'!J61</f>
        <v>0</v>
      </c>
      <c r="M37" s="211">
        <f>' таблица 2'!K12+' таблица 2'!K33+' таблица 2'!K40+' таблица 2'!K47+' таблица 2'!K61</f>
        <v>0</v>
      </c>
      <c r="N37" s="211">
        <f>' таблица 2'!L12+' таблица 2'!L33+' таблица 2'!L40+' таблица 2'!L47+' таблица 2'!L61</f>
        <v>0</v>
      </c>
      <c r="O37" s="166">
        <v>0</v>
      </c>
      <c r="P37" s="166">
        <v>0</v>
      </c>
      <c r="Q37" s="141"/>
    </row>
    <row r="38" spans="1:21" ht="43.5" customHeight="1" x14ac:dyDescent="0.3">
      <c r="A38" s="356"/>
      <c r="B38" s="356"/>
      <c r="C38" s="356"/>
      <c r="D38" s="356"/>
      <c r="E38" s="365"/>
      <c r="F38" s="356"/>
      <c r="G38" s="140" t="s">
        <v>7</v>
      </c>
      <c r="H38" s="208">
        <f t="shared" ref="H38:H42" si="2">SUM(I38:P38)</f>
        <v>1758.7000000000003</v>
      </c>
      <c r="I38" s="266">
        <f>' таблица 2'!G13+' таблица 2'!G34+' таблица 2'!G41+' таблица 2'!G48+' таблица 2'!G62</f>
        <v>340</v>
      </c>
      <c r="J38" s="211">
        <f>' таблица 2'!H13+' таблица 2'!H34+' таблица 2'!H41+' таблица 2'!H48+' таблица 2'!H62</f>
        <v>0</v>
      </c>
      <c r="K38" s="211">
        <f>' таблица 2'!I13+' таблица 2'!I34+' таблица 2'!I41+' таблица 2'!I48+' таблица 2'!I62</f>
        <v>934.4</v>
      </c>
      <c r="L38" s="211">
        <f>' таблица 2'!J13+' таблица 2'!J34+' таблица 2'!J41+' таблица 2'!J48+' таблица 2'!J62</f>
        <v>103.7</v>
      </c>
      <c r="M38" s="211">
        <f>' таблица 2'!K13+' таблица 2'!K34+' таблица 2'!K41+' таблица 2'!K48+' таблица 2'!K62</f>
        <v>380.6</v>
      </c>
      <c r="N38" s="211">
        <f>' таблица 2'!L13+' таблица 2'!L34+' таблица 2'!L41+' таблица 2'!L48+' таблица 2'!L62</f>
        <v>0</v>
      </c>
      <c r="O38" s="166">
        <v>0</v>
      </c>
      <c r="P38" s="166">
        <v>0</v>
      </c>
      <c r="Q38" s="141"/>
    </row>
    <row r="39" spans="1:21" ht="26.25" customHeight="1" x14ac:dyDescent="0.3">
      <c r="A39" s="356"/>
      <c r="B39" s="356"/>
      <c r="C39" s="356"/>
      <c r="D39" s="356"/>
      <c r="E39" s="365"/>
      <c r="F39" s="356"/>
      <c r="G39" s="140" t="s">
        <v>8</v>
      </c>
      <c r="H39" s="208">
        <f t="shared" si="2"/>
        <v>597375.44574</v>
      </c>
      <c r="I39" s="266">
        <f>' таблица 2'!G14+' таблица 2'!G35+' таблица 2'!G42+' таблица 2'!G49+' таблица 2'!G63</f>
        <v>146351.30295000001</v>
      </c>
      <c r="J39" s="211">
        <f>' таблица 2'!H14+' таблица 2'!H35+' таблица 2'!H42+' таблица 2'!H49+' таблица 2'!H63</f>
        <v>105452.02454999999</v>
      </c>
      <c r="K39" s="211">
        <f>' таблица 2'!I14+' таблица 2'!I35+' таблица 2'!I42+' таблица 2'!I49+' таблица 2'!I63</f>
        <v>151694.96294999999</v>
      </c>
      <c r="L39" s="211">
        <f>' таблица 2'!J14+' таблица 2'!J35+' таблица 2'!J42+' таблица 2'!J49+' таблица 2'!J63</f>
        <v>66359.663360000006</v>
      </c>
      <c r="M39" s="211">
        <f>' таблица 2'!K14+' таблица 2'!K35+' таблица 2'!K42+' таблица 2'!K49+' таблица 2'!K63</f>
        <v>66359.663359999991</v>
      </c>
      <c r="N39" s="211">
        <f>' таблица 2'!L14+' таблица 2'!L35+' таблица 2'!L42+' таблица 2'!L49+' таблица 2'!L63</f>
        <v>61157.828569999998</v>
      </c>
      <c r="O39" s="166">
        <v>0</v>
      </c>
      <c r="P39" s="166">
        <v>0</v>
      </c>
      <c r="Q39" s="141"/>
    </row>
    <row r="40" spans="1:21" ht="57" customHeight="1" x14ac:dyDescent="0.3">
      <c r="A40" s="356"/>
      <c r="B40" s="356"/>
      <c r="C40" s="356"/>
      <c r="D40" s="356"/>
      <c r="E40" s="365"/>
      <c r="F40" s="356"/>
      <c r="G40" s="142" t="s">
        <v>9</v>
      </c>
      <c r="H40" s="208">
        <f t="shared" si="2"/>
        <v>0</v>
      </c>
      <c r="I40" s="266">
        <f>' таблица 2'!G15+' таблица 2'!G36+' таблица 2'!G43+' таблица 2'!G50+' таблица 2'!G64</f>
        <v>0</v>
      </c>
      <c r="J40" s="211">
        <f>' таблица 2'!H15+' таблица 2'!H36+' таблица 2'!H43+' таблица 2'!H50+' таблица 2'!H64</f>
        <v>0</v>
      </c>
      <c r="K40" s="211">
        <f>' таблица 2'!I15+' таблица 2'!I36+' таблица 2'!I43+' таблица 2'!I50+' таблица 2'!I64</f>
        <v>0</v>
      </c>
      <c r="L40" s="211">
        <f>' таблица 2'!J15+' таблица 2'!J36+' таблица 2'!J43+' таблица 2'!J50+' таблица 2'!J64</f>
        <v>0</v>
      </c>
      <c r="M40" s="211">
        <f>' таблица 2'!K15+' таблица 2'!K36+' таблица 2'!K43+' таблица 2'!K50+' таблица 2'!K64</f>
        <v>0</v>
      </c>
      <c r="N40" s="211">
        <f>' таблица 2'!L15+' таблица 2'!L36+' таблица 2'!L43+' таблица 2'!L50+' таблица 2'!L64</f>
        <v>0</v>
      </c>
      <c r="O40" s="166">
        <v>0</v>
      </c>
      <c r="P40" s="166">
        <v>0</v>
      </c>
      <c r="Q40" s="141"/>
    </row>
    <row r="41" spans="1:21" ht="24" customHeight="1" x14ac:dyDescent="0.3">
      <c r="A41" s="356"/>
      <c r="B41" s="356"/>
      <c r="C41" s="356"/>
      <c r="D41" s="356"/>
      <c r="E41" s="365"/>
      <c r="F41" s="356"/>
      <c r="G41" s="140" t="s">
        <v>262</v>
      </c>
      <c r="H41" s="208">
        <f t="shared" si="2"/>
        <v>0</v>
      </c>
      <c r="I41" s="266">
        <f>' таблица 2'!G16+' таблица 2'!G37+' таблица 2'!G44+' таблица 2'!G51+' таблица 2'!G65</f>
        <v>0</v>
      </c>
      <c r="J41" s="211">
        <f>' таблица 2'!H16+' таблица 2'!H37+' таблица 2'!H44+' таблица 2'!H51+' таблица 2'!H65</f>
        <v>0</v>
      </c>
      <c r="K41" s="211">
        <f>' таблица 2'!I16+' таблица 2'!I37+' таблица 2'!I44+' таблица 2'!I51+' таблица 2'!I65</f>
        <v>0</v>
      </c>
      <c r="L41" s="211">
        <f>' таблица 2'!J16+' таблица 2'!J37+' таблица 2'!J44+' таблица 2'!J51+' таблица 2'!J65</f>
        <v>0</v>
      </c>
      <c r="M41" s="211">
        <f>' таблица 2'!K16+' таблица 2'!K37+' таблица 2'!K44+' таблица 2'!K51+' таблица 2'!K65</f>
        <v>0</v>
      </c>
      <c r="N41" s="211">
        <f>' таблица 2'!L16+' таблица 2'!L37+' таблица 2'!L44+' таблица 2'!L51+' таблица 2'!L65</f>
        <v>0</v>
      </c>
      <c r="O41" s="166">
        <v>0</v>
      </c>
      <c r="P41" s="166">
        <v>0</v>
      </c>
      <c r="Q41" s="353"/>
      <c r="R41" s="354"/>
      <c r="S41" s="354"/>
      <c r="T41" s="354"/>
      <c r="U41" s="354"/>
    </row>
    <row r="42" spans="1:21" ht="54" customHeight="1" x14ac:dyDescent="0.3">
      <c r="A42" s="356"/>
      <c r="B42" s="356"/>
      <c r="C42" s="356"/>
      <c r="D42" s="357"/>
      <c r="E42" s="366"/>
      <c r="F42" s="357"/>
      <c r="G42" s="140" t="s">
        <v>24</v>
      </c>
      <c r="H42" s="208">
        <f t="shared" si="2"/>
        <v>430992.72465397918</v>
      </c>
      <c r="I42" s="266">
        <f>' таблица 2'!G17+' таблица 2'!G38+' таблица 2'!G45+' таблица 2'!G52+' таблица 2'!G66</f>
        <v>0</v>
      </c>
      <c r="J42" s="211">
        <f>' таблица 2'!H17+' таблица 2'!H38+' таблица 2'!H45+' таблица 2'!H52+' таблица 2'!H66</f>
        <v>0</v>
      </c>
      <c r="K42" s="211">
        <f>' таблица 2'!I17+' таблица 2'!I38+' таблица 2'!I45+' таблица 2'!I52+' таблица 2'!I66</f>
        <v>41608.019549999997</v>
      </c>
      <c r="L42" s="211">
        <f>' таблица 2'!J17+' таблица 2'!J38+' таблица 2'!J45+' таблица 2'!J52+' таблица 2'!J66</f>
        <v>127982.67284079999</v>
      </c>
      <c r="M42" s="211">
        <f>' таблица 2'!K17+' таблица 2'!K38+' таблица 2'!K45+' таблица 2'!K52+' таблица 2'!K66</f>
        <v>130790.37046954638</v>
      </c>
      <c r="N42" s="211">
        <f>' таблица 2'!L17+' таблица 2'!L38+' таблица 2'!L45+' таблица 2'!L52+' таблица 2'!L66</f>
        <v>130611.66179363275</v>
      </c>
      <c r="O42" s="166">
        <v>0</v>
      </c>
      <c r="P42" s="166">
        <v>0</v>
      </c>
      <c r="Q42" s="141"/>
    </row>
    <row r="43" spans="1:21" s="101" customFormat="1" ht="18.75" customHeight="1" x14ac:dyDescent="0.3">
      <c r="A43" s="356"/>
      <c r="B43" s="356"/>
      <c r="C43" s="356"/>
      <c r="D43" s="355" t="s">
        <v>296</v>
      </c>
      <c r="E43" s="355" t="s">
        <v>261</v>
      </c>
      <c r="F43" s="355" t="s">
        <v>122</v>
      </c>
      <c r="G43" s="138" t="s">
        <v>131</v>
      </c>
      <c r="H43" s="208">
        <f>SUM(H44:H49)</f>
        <v>533999.60889999999</v>
      </c>
      <c r="I43" s="265">
        <f t="shared" ref="I43:P43" si="3">SUM(I44:I49)</f>
        <v>88918</v>
      </c>
      <c r="J43" s="208">
        <f t="shared" si="3"/>
        <v>58416.190019999995</v>
      </c>
      <c r="K43" s="208">
        <f t="shared" si="3"/>
        <v>179714.78398000001</v>
      </c>
      <c r="L43" s="208">
        <f t="shared" si="3"/>
        <v>203775.48045</v>
      </c>
      <c r="M43" s="208">
        <f t="shared" si="3"/>
        <v>2475.15445</v>
      </c>
      <c r="N43" s="208">
        <f t="shared" si="3"/>
        <v>700</v>
      </c>
      <c r="O43" s="165">
        <f t="shared" si="3"/>
        <v>0</v>
      </c>
      <c r="P43" s="165">
        <f t="shared" si="3"/>
        <v>0</v>
      </c>
      <c r="Q43" s="139"/>
    </row>
    <row r="44" spans="1:21" ht="24.75" customHeight="1" x14ac:dyDescent="0.3">
      <c r="A44" s="356"/>
      <c r="B44" s="356"/>
      <c r="C44" s="356"/>
      <c r="D44" s="356"/>
      <c r="E44" s="356"/>
      <c r="F44" s="356"/>
      <c r="G44" s="140" t="s">
        <v>6</v>
      </c>
      <c r="H44" s="208">
        <f>SUM(I44:P44)</f>
        <v>0</v>
      </c>
      <c r="I44" s="266">
        <f>' таблица 2'!G19+' таблица 2'!G26</f>
        <v>0</v>
      </c>
      <c r="J44" s="211">
        <f>' таблица 2'!H19+' таблица 2'!H26</f>
        <v>0</v>
      </c>
      <c r="K44" s="211">
        <f>' таблица 2'!I19+' таблица 2'!I26</f>
        <v>0</v>
      </c>
      <c r="L44" s="211">
        <f>' таблица 2'!J19+' таблица 2'!J26</f>
        <v>0</v>
      </c>
      <c r="M44" s="211">
        <f>' таблица 2'!K19+' таблица 2'!K26</f>
        <v>0</v>
      </c>
      <c r="N44" s="211">
        <f>' таблица 2'!L19+' таблица 2'!L26</f>
        <v>0</v>
      </c>
      <c r="O44" s="166">
        <v>0</v>
      </c>
      <c r="P44" s="166">
        <v>0</v>
      </c>
      <c r="Q44" s="141"/>
    </row>
    <row r="45" spans="1:21" ht="37.5" customHeight="1" x14ac:dyDescent="0.3">
      <c r="A45" s="356"/>
      <c r="B45" s="356"/>
      <c r="C45" s="356"/>
      <c r="D45" s="356"/>
      <c r="E45" s="356"/>
      <c r="F45" s="356"/>
      <c r="G45" s="140" t="s">
        <v>7</v>
      </c>
      <c r="H45" s="208">
        <f t="shared" ref="H45:H49" si="4">SUM(I45:P45)</f>
        <v>0</v>
      </c>
      <c r="I45" s="266">
        <f>' таблица 2'!G20+' таблица 2'!G27</f>
        <v>0</v>
      </c>
      <c r="J45" s="211">
        <f>' таблица 2'!H20+' таблица 2'!H27</f>
        <v>0</v>
      </c>
      <c r="K45" s="211">
        <f>' таблица 2'!I20+' таблица 2'!I27</f>
        <v>0</v>
      </c>
      <c r="L45" s="211">
        <f>' таблица 2'!J20+' таблица 2'!J27</f>
        <v>0</v>
      </c>
      <c r="M45" s="211">
        <f>' таблица 2'!K20+' таблица 2'!K27</f>
        <v>0</v>
      </c>
      <c r="N45" s="211">
        <f>' таблица 2'!L20+' таблица 2'!L27</f>
        <v>0</v>
      </c>
      <c r="O45" s="166">
        <v>0</v>
      </c>
      <c r="P45" s="166">
        <v>0</v>
      </c>
      <c r="Q45" s="141"/>
    </row>
    <row r="46" spans="1:21" ht="21.75" customHeight="1" x14ac:dyDescent="0.3">
      <c r="A46" s="356"/>
      <c r="B46" s="356"/>
      <c r="C46" s="356"/>
      <c r="D46" s="356"/>
      <c r="E46" s="356"/>
      <c r="F46" s="356"/>
      <c r="G46" s="140" t="s">
        <v>8</v>
      </c>
      <c r="H46" s="208">
        <f t="shared" si="4"/>
        <v>152393.42491999999</v>
      </c>
      <c r="I46" s="266">
        <f>' таблица 2'!G21+' таблица 2'!G28</f>
        <v>88918</v>
      </c>
      <c r="J46" s="211">
        <f>' таблица 2'!H21+' таблица 2'!H28</f>
        <v>58416.190019999995</v>
      </c>
      <c r="K46" s="211">
        <f>' таблица 2'!I21+' таблица 2'!I28</f>
        <v>1297</v>
      </c>
      <c r="L46" s="211">
        <f>' таблица 2'!J21+' таблица 2'!J28</f>
        <v>1987.0804499999999</v>
      </c>
      <c r="M46" s="211">
        <f>' таблица 2'!K21+' таблица 2'!K28</f>
        <v>1775.15445</v>
      </c>
      <c r="N46" s="211">
        <f>' таблица 2'!L21+' таблица 2'!L28</f>
        <v>0</v>
      </c>
      <c r="O46" s="166">
        <v>0</v>
      </c>
      <c r="P46" s="166">
        <v>0</v>
      </c>
      <c r="Q46" s="141"/>
    </row>
    <row r="47" spans="1:21" ht="52.5" customHeight="1" x14ac:dyDescent="0.3">
      <c r="A47" s="356"/>
      <c r="B47" s="356"/>
      <c r="C47" s="356"/>
      <c r="D47" s="356"/>
      <c r="E47" s="356"/>
      <c r="F47" s="356"/>
      <c r="G47" s="142" t="s">
        <v>9</v>
      </c>
      <c r="H47" s="208">
        <f t="shared" si="4"/>
        <v>0</v>
      </c>
      <c r="I47" s="266">
        <f>' таблица 2'!G22+' таблица 2'!G29</f>
        <v>0</v>
      </c>
      <c r="J47" s="211">
        <f>' таблица 2'!H22+' таблица 2'!H29</f>
        <v>0</v>
      </c>
      <c r="K47" s="211">
        <f>' таблица 2'!I22+' таблица 2'!I29</f>
        <v>0</v>
      </c>
      <c r="L47" s="211">
        <f>' таблица 2'!J22+' таблица 2'!J29</f>
        <v>0</v>
      </c>
      <c r="M47" s="211">
        <f>' таблица 2'!K22+' таблица 2'!K29</f>
        <v>0</v>
      </c>
      <c r="N47" s="211">
        <f>' таблица 2'!L22+' таблица 2'!L29</f>
        <v>0</v>
      </c>
      <c r="O47" s="166">
        <v>0</v>
      </c>
      <c r="P47" s="166">
        <v>0</v>
      </c>
      <c r="Q47" s="141"/>
    </row>
    <row r="48" spans="1:21" ht="23.25" customHeight="1" x14ac:dyDescent="0.3">
      <c r="A48" s="356"/>
      <c r="B48" s="356"/>
      <c r="C48" s="356"/>
      <c r="D48" s="356"/>
      <c r="E48" s="356"/>
      <c r="F48" s="356"/>
      <c r="G48" s="140" t="s">
        <v>262</v>
      </c>
      <c r="H48" s="208">
        <f t="shared" si="4"/>
        <v>0</v>
      </c>
      <c r="I48" s="266">
        <f>' таблица 2'!G23+' таблица 2'!G30</f>
        <v>0</v>
      </c>
      <c r="J48" s="211">
        <f>' таблица 2'!H23+' таблица 2'!H30</f>
        <v>0</v>
      </c>
      <c r="K48" s="211">
        <f>' таблица 2'!I23+' таблица 2'!I30</f>
        <v>0</v>
      </c>
      <c r="L48" s="211">
        <f>' таблица 2'!J23+' таблица 2'!J30</f>
        <v>0</v>
      </c>
      <c r="M48" s="211">
        <f>' таблица 2'!K23+' таблица 2'!K30</f>
        <v>0</v>
      </c>
      <c r="N48" s="211">
        <f>' таблица 2'!L23+' таблица 2'!L30</f>
        <v>0</v>
      </c>
      <c r="O48" s="166">
        <v>0</v>
      </c>
      <c r="P48" s="166">
        <v>0</v>
      </c>
      <c r="Q48" s="141"/>
    </row>
    <row r="49" spans="1:17" x14ac:dyDescent="0.3">
      <c r="A49" s="357"/>
      <c r="B49" s="357"/>
      <c r="C49" s="357"/>
      <c r="D49" s="357"/>
      <c r="E49" s="357"/>
      <c r="F49" s="357"/>
      <c r="G49" s="140" t="s">
        <v>24</v>
      </c>
      <c r="H49" s="208">
        <f t="shared" si="4"/>
        <v>381606.18397999997</v>
      </c>
      <c r="I49" s="266">
        <f>' таблица 2'!G24+' таблица 2'!G31</f>
        <v>0</v>
      </c>
      <c r="J49" s="211">
        <f>' таблица 2'!H24+' таблица 2'!H31</f>
        <v>0</v>
      </c>
      <c r="K49" s="211">
        <f>' таблица 2'!I24+' таблица 2'!I31</f>
        <v>178417.78398000001</v>
      </c>
      <c r="L49" s="211">
        <f>' таблица 2'!J24+' таблица 2'!J31</f>
        <v>201788.4</v>
      </c>
      <c r="M49" s="211">
        <f>' таблица 2'!K24+' таблица 2'!K31</f>
        <v>700</v>
      </c>
      <c r="N49" s="211">
        <f>' таблица 2'!L24+' таблица 2'!L31</f>
        <v>700</v>
      </c>
      <c r="O49" s="166">
        <v>0</v>
      </c>
      <c r="P49" s="166">
        <v>0</v>
      </c>
      <c r="Q49" s="141"/>
    </row>
    <row r="50" spans="1:17" s="101" customFormat="1" ht="19.5" customHeight="1" x14ac:dyDescent="0.3">
      <c r="A50" s="370" t="s">
        <v>133</v>
      </c>
      <c r="B50" s="371"/>
      <c r="C50" s="371"/>
      <c r="D50" s="371"/>
      <c r="E50" s="371"/>
      <c r="F50" s="372"/>
      <c r="G50" s="138" t="s">
        <v>131</v>
      </c>
      <c r="H50" s="208">
        <f>H36+H43</f>
        <v>1564126.4792939792</v>
      </c>
      <c r="I50" s="265">
        <f t="shared" ref="I50:P50" si="5">I36+I43</f>
        <v>235609.30295000001</v>
      </c>
      <c r="J50" s="208">
        <f t="shared" si="5"/>
        <v>163868.21456999998</v>
      </c>
      <c r="K50" s="208">
        <f t="shared" si="5"/>
        <v>373952.16648000001</v>
      </c>
      <c r="L50" s="208">
        <f t="shared" si="5"/>
        <v>398221.51665080001</v>
      </c>
      <c r="M50" s="208">
        <f t="shared" si="5"/>
        <v>200005.7882795464</v>
      </c>
      <c r="N50" s="208">
        <f t="shared" si="5"/>
        <v>192469.49036363274</v>
      </c>
      <c r="O50" s="165">
        <f t="shared" si="5"/>
        <v>0</v>
      </c>
      <c r="P50" s="165">
        <f t="shared" si="5"/>
        <v>0</v>
      </c>
      <c r="Q50" s="139"/>
    </row>
    <row r="51" spans="1:17" ht="28.5" customHeight="1" x14ac:dyDescent="0.3">
      <c r="A51" s="373"/>
      <c r="B51" s="374"/>
      <c r="C51" s="374"/>
      <c r="D51" s="374"/>
      <c r="E51" s="374"/>
      <c r="F51" s="375"/>
      <c r="G51" s="140" t="s">
        <v>6</v>
      </c>
      <c r="H51" s="208">
        <f t="shared" ref="H51:P56" si="6">H37+H44</f>
        <v>0</v>
      </c>
      <c r="I51" s="265">
        <f t="shared" si="6"/>
        <v>0</v>
      </c>
      <c r="J51" s="208">
        <f t="shared" si="6"/>
        <v>0</v>
      </c>
      <c r="K51" s="208">
        <f t="shared" si="6"/>
        <v>0</v>
      </c>
      <c r="L51" s="208">
        <f t="shared" si="6"/>
        <v>0</v>
      </c>
      <c r="M51" s="208">
        <f t="shared" si="6"/>
        <v>0</v>
      </c>
      <c r="N51" s="208">
        <f t="shared" si="6"/>
        <v>0</v>
      </c>
      <c r="O51" s="165">
        <f t="shared" si="6"/>
        <v>0</v>
      </c>
      <c r="P51" s="165">
        <f t="shared" si="6"/>
        <v>0</v>
      </c>
      <c r="Q51" s="141"/>
    </row>
    <row r="52" spans="1:17" ht="37.5" customHeight="1" x14ac:dyDescent="0.3">
      <c r="A52" s="373"/>
      <c r="B52" s="374"/>
      <c r="C52" s="374"/>
      <c r="D52" s="374"/>
      <c r="E52" s="374"/>
      <c r="F52" s="375"/>
      <c r="G52" s="140" t="s">
        <v>7</v>
      </c>
      <c r="H52" s="208">
        <f t="shared" si="6"/>
        <v>1758.7000000000003</v>
      </c>
      <c r="I52" s="265">
        <f t="shared" si="6"/>
        <v>340</v>
      </c>
      <c r="J52" s="208">
        <f t="shared" si="6"/>
        <v>0</v>
      </c>
      <c r="K52" s="208">
        <f t="shared" si="6"/>
        <v>934.4</v>
      </c>
      <c r="L52" s="208">
        <f t="shared" si="6"/>
        <v>103.7</v>
      </c>
      <c r="M52" s="208">
        <f t="shared" si="6"/>
        <v>380.6</v>
      </c>
      <c r="N52" s="208">
        <f t="shared" si="6"/>
        <v>0</v>
      </c>
      <c r="O52" s="165">
        <f t="shared" si="6"/>
        <v>0</v>
      </c>
      <c r="P52" s="165">
        <f t="shared" si="6"/>
        <v>0</v>
      </c>
      <c r="Q52" s="141"/>
    </row>
    <row r="53" spans="1:17" ht="18.75" customHeight="1" x14ac:dyDescent="0.3">
      <c r="A53" s="373"/>
      <c r="B53" s="374"/>
      <c r="C53" s="374"/>
      <c r="D53" s="374"/>
      <c r="E53" s="374"/>
      <c r="F53" s="375"/>
      <c r="G53" s="140" t="s">
        <v>8</v>
      </c>
      <c r="H53" s="208">
        <f t="shared" si="6"/>
        <v>749768.87066000002</v>
      </c>
      <c r="I53" s="265">
        <f t="shared" si="6"/>
        <v>235269.30295000001</v>
      </c>
      <c r="J53" s="208">
        <f t="shared" si="6"/>
        <v>163868.21456999998</v>
      </c>
      <c r="K53" s="208">
        <f t="shared" si="6"/>
        <v>152991.96294999999</v>
      </c>
      <c r="L53" s="208">
        <f t="shared" si="6"/>
        <v>68346.74381</v>
      </c>
      <c r="M53" s="208">
        <f t="shared" si="6"/>
        <v>68134.817809999993</v>
      </c>
      <c r="N53" s="208">
        <f t="shared" si="6"/>
        <v>61157.828569999998</v>
      </c>
      <c r="O53" s="165">
        <f t="shared" si="6"/>
        <v>0</v>
      </c>
      <c r="P53" s="165">
        <f t="shared" si="6"/>
        <v>0</v>
      </c>
      <c r="Q53" s="141"/>
    </row>
    <row r="54" spans="1:17" ht="52.5" customHeight="1" x14ac:dyDescent="0.3">
      <c r="A54" s="373"/>
      <c r="B54" s="374"/>
      <c r="C54" s="374"/>
      <c r="D54" s="374"/>
      <c r="E54" s="374"/>
      <c r="F54" s="375"/>
      <c r="G54" s="142" t="s">
        <v>9</v>
      </c>
      <c r="H54" s="208">
        <f t="shared" si="6"/>
        <v>0</v>
      </c>
      <c r="I54" s="265">
        <f t="shared" si="6"/>
        <v>0</v>
      </c>
      <c r="J54" s="208">
        <f t="shared" si="6"/>
        <v>0</v>
      </c>
      <c r="K54" s="208">
        <f t="shared" si="6"/>
        <v>0</v>
      </c>
      <c r="L54" s="208">
        <f t="shared" si="6"/>
        <v>0</v>
      </c>
      <c r="M54" s="208">
        <f t="shared" si="6"/>
        <v>0</v>
      </c>
      <c r="N54" s="208">
        <f t="shared" si="6"/>
        <v>0</v>
      </c>
      <c r="O54" s="165">
        <f t="shared" si="6"/>
        <v>0</v>
      </c>
      <c r="P54" s="165">
        <f t="shared" si="6"/>
        <v>0</v>
      </c>
      <c r="Q54" s="141"/>
    </row>
    <row r="55" spans="1:17" ht="18.75" customHeight="1" x14ac:dyDescent="0.3">
      <c r="A55" s="373"/>
      <c r="B55" s="374"/>
      <c r="C55" s="374"/>
      <c r="D55" s="374"/>
      <c r="E55" s="374"/>
      <c r="F55" s="375"/>
      <c r="G55" s="140" t="s">
        <v>262</v>
      </c>
      <c r="H55" s="208">
        <f t="shared" si="6"/>
        <v>0</v>
      </c>
      <c r="I55" s="265">
        <f t="shared" si="6"/>
        <v>0</v>
      </c>
      <c r="J55" s="208">
        <f t="shared" si="6"/>
        <v>0</v>
      </c>
      <c r="K55" s="208">
        <f t="shared" si="6"/>
        <v>0</v>
      </c>
      <c r="L55" s="208">
        <f t="shared" si="6"/>
        <v>0</v>
      </c>
      <c r="M55" s="208">
        <f t="shared" si="6"/>
        <v>0</v>
      </c>
      <c r="N55" s="208">
        <f t="shared" si="6"/>
        <v>0</v>
      </c>
      <c r="O55" s="165">
        <f t="shared" si="6"/>
        <v>0</v>
      </c>
      <c r="P55" s="165">
        <f t="shared" si="6"/>
        <v>0</v>
      </c>
      <c r="Q55" s="141"/>
    </row>
    <row r="56" spans="1:17" x14ac:dyDescent="0.3">
      <c r="A56" s="376"/>
      <c r="B56" s="377"/>
      <c r="C56" s="377"/>
      <c r="D56" s="377"/>
      <c r="E56" s="377"/>
      <c r="F56" s="378"/>
      <c r="G56" s="140" t="s">
        <v>24</v>
      </c>
      <c r="H56" s="208">
        <f t="shared" si="6"/>
        <v>812598.90863397915</v>
      </c>
      <c r="I56" s="265">
        <f t="shared" si="6"/>
        <v>0</v>
      </c>
      <c r="J56" s="208">
        <f t="shared" si="6"/>
        <v>0</v>
      </c>
      <c r="K56" s="208">
        <f t="shared" si="6"/>
        <v>220025.80353</v>
      </c>
      <c r="L56" s="208">
        <f t="shared" si="6"/>
        <v>329771.07284079998</v>
      </c>
      <c r="M56" s="208">
        <f t="shared" si="6"/>
        <v>131490.37046954638</v>
      </c>
      <c r="N56" s="208">
        <f t="shared" si="6"/>
        <v>131311.66179363275</v>
      </c>
      <c r="O56" s="165">
        <f t="shared" si="6"/>
        <v>0</v>
      </c>
      <c r="P56" s="165">
        <f t="shared" si="6"/>
        <v>0</v>
      </c>
      <c r="Q56" s="141"/>
    </row>
    <row r="57" spans="1:17" ht="18.75" customHeight="1" x14ac:dyDescent="0.3">
      <c r="A57" s="386" t="s">
        <v>132</v>
      </c>
      <c r="B57" s="387"/>
      <c r="C57" s="387"/>
      <c r="D57" s="387"/>
      <c r="E57" s="387"/>
      <c r="F57" s="388"/>
      <c r="G57" s="138" t="s">
        <v>131</v>
      </c>
      <c r="H57" s="208">
        <f>H28+H50</f>
        <v>1564126.4792939792</v>
      </c>
      <c r="I57" s="265">
        <f t="shared" ref="I57:P57" si="7">I28+I50</f>
        <v>235609.30295000001</v>
      </c>
      <c r="J57" s="208">
        <f t="shared" si="7"/>
        <v>163868.21456999998</v>
      </c>
      <c r="K57" s="208">
        <f t="shared" si="7"/>
        <v>373952.16648000001</v>
      </c>
      <c r="L57" s="208">
        <f t="shared" si="7"/>
        <v>398221.51665080001</v>
      </c>
      <c r="M57" s="208">
        <f t="shared" si="7"/>
        <v>200005.7882795464</v>
      </c>
      <c r="N57" s="208">
        <f t="shared" si="7"/>
        <v>192469.49036363274</v>
      </c>
      <c r="O57" s="165">
        <f t="shared" si="7"/>
        <v>0</v>
      </c>
      <c r="P57" s="165">
        <f t="shared" si="7"/>
        <v>0</v>
      </c>
      <c r="Q57" s="139"/>
    </row>
    <row r="58" spans="1:17" ht="34.5" customHeight="1" x14ac:dyDescent="0.3">
      <c r="A58" s="389"/>
      <c r="B58" s="390"/>
      <c r="C58" s="390"/>
      <c r="D58" s="390"/>
      <c r="E58" s="390"/>
      <c r="F58" s="391"/>
      <c r="G58" s="209" t="s">
        <v>6</v>
      </c>
      <c r="H58" s="208">
        <f t="shared" ref="H58:P63" si="8">H29+H51</f>
        <v>0</v>
      </c>
      <c r="I58" s="265">
        <f t="shared" si="8"/>
        <v>0</v>
      </c>
      <c r="J58" s="208">
        <f t="shared" si="8"/>
        <v>0</v>
      </c>
      <c r="K58" s="208">
        <f t="shared" si="8"/>
        <v>0</v>
      </c>
      <c r="L58" s="208">
        <f t="shared" si="8"/>
        <v>0</v>
      </c>
      <c r="M58" s="208">
        <f t="shared" si="8"/>
        <v>0</v>
      </c>
      <c r="N58" s="208">
        <f t="shared" si="8"/>
        <v>0</v>
      </c>
      <c r="O58" s="165">
        <f t="shared" si="8"/>
        <v>0</v>
      </c>
      <c r="P58" s="165">
        <f t="shared" si="8"/>
        <v>0</v>
      </c>
      <c r="Q58" s="139"/>
    </row>
    <row r="59" spans="1:17" ht="38.25" customHeight="1" x14ac:dyDescent="0.3">
      <c r="A59" s="389"/>
      <c r="B59" s="390"/>
      <c r="C59" s="390"/>
      <c r="D59" s="390"/>
      <c r="E59" s="390"/>
      <c r="F59" s="391"/>
      <c r="G59" s="209" t="s">
        <v>7</v>
      </c>
      <c r="H59" s="208">
        <f t="shared" si="8"/>
        <v>1758.7000000000003</v>
      </c>
      <c r="I59" s="265">
        <f t="shared" si="8"/>
        <v>340</v>
      </c>
      <c r="J59" s="208">
        <f t="shared" si="8"/>
        <v>0</v>
      </c>
      <c r="K59" s="208">
        <f t="shared" si="8"/>
        <v>934.4</v>
      </c>
      <c r="L59" s="208">
        <f t="shared" si="8"/>
        <v>103.7</v>
      </c>
      <c r="M59" s="208">
        <f t="shared" si="8"/>
        <v>380.6</v>
      </c>
      <c r="N59" s="208">
        <f t="shared" si="8"/>
        <v>0</v>
      </c>
      <c r="O59" s="165">
        <f t="shared" si="8"/>
        <v>0</v>
      </c>
      <c r="P59" s="165">
        <f t="shared" si="8"/>
        <v>0</v>
      </c>
      <c r="Q59" s="139"/>
    </row>
    <row r="60" spans="1:17" ht="18.75" customHeight="1" x14ac:dyDescent="0.3">
      <c r="A60" s="389"/>
      <c r="B60" s="390"/>
      <c r="C60" s="390"/>
      <c r="D60" s="390"/>
      <c r="E60" s="390"/>
      <c r="F60" s="391"/>
      <c r="G60" s="209" t="s">
        <v>8</v>
      </c>
      <c r="H60" s="208">
        <f t="shared" si="8"/>
        <v>749768.87066000002</v>
      </c>
      <c r="I60" s="265">
        <f t="shared" si="8"/>
        <v>235269.30295000001</v>
      </c>
      <c r="J60" s="208">
        <f t="shared" si="8"/>
        <v>163868.21456999998</v>
      </c>
      <c r="K60" s="208">
        <f t="shared" si="8"/>
        <v>152991.96294999999</v>
      </c>
      <c r="L60" s="208">
        <f t="shared" si="8"/>
        <v>68346.74381</v>
      </c>
      <c r="M60" s="208">
        <f t="shared" si="8"/>
        <v>68134.817809999993</v>
      </c>
      <c r="N60" s="208">
        <f t="shared" si="8"/>
        <v>61157.828569999998</v>
      </c>
      <c r="O60" s="165">
        <f t="shared" si="8"/>
        <v>0</v>
      </c>
      <c r="P60" s="165">
        <f t="shared" si="8"/>
        <v>0</v>
      </c>
      <c r="Q60" s="139"/>
    </row>
    <row r="61" spans="1:17" ht="48.75" customHeight="1" x14ac:dyDescent="0.3">
      <c r="A61" s="389"/>
      <c r="B61" s="390"/>
      <c r="C61" s="390"/>
      <c r="D61" s="390"/>
      <c r="E61" s="390"/>
      <c r="F61" s="391"/>
      <c r="G61" s="210" t="s">
        <v>9</v>
      </c>
      <c r="H61" s="208">
        <f t="shared" si="8"/>
        <v>0</v>
      </c>
      <c r="I61" s="265">
        <f t="shared" si="8"/>
        <v>0</v>
      </c>
      <c r="J61" s="208">
        <f t="shared" si="8"/>
        <v>0</v>
      </c>
      <c r="K61" s="208">
        <f t="shared" si="8"/>
        <v>0</v>
      </c>
      <c r="L61" s="208">
        <f t="shared" si="8"/>
        <v>0</v>
      </c>
      <c r="M61" s="208">
        <f t="shared" si="8"/>
        <v>0</v>
      </c>
      <c r="N61" s="208">
        <f t="shared" si="8"/>
        <v>0</v>
      </c>
      <c r="O61" s="165">
        <f t="shared" si="8"/>
        <v>0</v>
      </c>
      <c r="P61" s="165">
        <f t="shared" si="8"/>
        <v>0</v>
      </c>
      <c r="Q61" s="139"/>
    </row>
    <row r="62" spans="1:17" ht="23.25" customHeight="1" x14ac:dyDescent="0.3">
      <c r="A62" s="389"/>
      <c r="B62" s="390"/>
      <c r="C62" s="390"/>
      <c r="D62" s="390"/>
      <c r="E62" s="390"/>
      <c r="F62" s="391"/>
      <c r="G62" s="209" t="s">
        <v>262</v>
      </c>
      <c r="H62" s="208">
        <f t="shared" si="8"/>
        <v>0</v>
      </c>
      <c r="I62" s="265">
        <f t="shared" si="8"/>
        <v>0</v>
      </c>
      <c r="J62" s="208">
        <f t="shared" si="8"/>
        <v>0</v>
      </c>
      <c r="K62" s="208">
        <f t="shared" si="8"/>
        <v>0</v>
      </c>
      <c r="L62" s="208">
        <f t="shared" si="8"/>
        <v>0</v>
      </c>
      <c r="M62" s="208">
        <f t="shared" si="8"/>
        <v>0</v>
      </c>
      <c r="N62" s="208">
        <f t="shared" si="8"/>
        <v>0</v>
      </c>
      <c r="O62" s="165">
        <f t="shared" si="8"/>
        <v>0</v>
      </c>
      <c r="P62" s="165">
        <f t="shared" si="8"/>
        <v>0</v>
      </c>
      <c r="Q62" s="139"/>
    </row>
    <row r="63" spans="1:17" ht="18.75" customHeight="1" x14ac:dyDescent="0.3">
      <c r="A63" s="392"/>
      <c r="B63" s="393"/>
      <c r="C63" s="393"/>
      <c r="D63" s="393"/>
      <c r="E63" s="393"/>
      <c r="F63" s="394"/>
      <c r="G63" s="209" t="s">
        <v>24</v>
      </c>
      <c r="H63" s="208">
        <f t="shared" si="8"/>
        <v>812598.90863397915</v>
      </c>
      <c r="I63" s="265">
        <f t="shared" si="8"/>
        <v>0</v>
      </c>
      <c r="J63" s="208">
        <f t="shared" si="8"/>
        <v>0</v>
      </c>
      <c r="K63" s="208">
        <f t="shared" si="8"/>
        <v>220025.80353</v>
      </c>
      <c r="L63" s="208">
        <f t="shared" si="8"/>
        <v>329771.07284079998</v>
      </c>
      <c r="M63" s="208">
        <f t="shared" si="8"/>
        <v>131490.37046954638</v>
      </c>
      <c r="N63" s="208">
        <f t="shared" si="8"/>
        <v>131311.66179363275</v>
      </c>
      <c r="O63" s="165">
        <f t="shared" si="8"/>
        <v>0</v>
      </c>
      <c r="P63" s="165">
        <f t="shared" si="8"/>
        <v>0</v>
      </c>
      <c r="Q63" s="139"/>
    </row>
    <row r="65" spans="3:4" ht="15.75" customHeight="1" x14ac:dyDescent="0.3"/>
    <row r="66" spans="3:4" x14ac:dyDescent="0.3">
      <c r="C66" s="99"/>
      <c r="D66" s="99"/>
    </row>
    <row r="71" spans="3:4" ht="15.75" customHeight="1" x14ac:dyDescent="0.3"/>
    <row r="72" spans="3:4" ht="15.75" customHeight="1" x14ac:dyDescent="0.3">
      <c r="C72" s="99"/>
      <c r="D72" s="99"/>
    </row>
    <row r="87" spans="3:4" ht="15.75" customHeight="1" x14ac:dyDescent="0.3">
      <c r="C87" s="99"/>
      <c r="D87" s="99"/>
    </row>
    <row r="93" spans="3:4" ht="31.5" customHeight="1" x14ac:dyDescent="0.3"/>
    <row r="94" spans="3:4" x14ac:dyDescent="0.3">
      <c r="C94" s="99"/>
      <c r="D94" s="99"/>
    </row>
    <row r="95" spans="3:4" x14ac:dyDescent="0.3">
      <c r="C95" s="99"/>
      <c r="D95" s="99"/>
    </row>
    <row r="98" spans="3:4" x14ac:dyDescent="0.3">
      <c r="C98" s="99"/>
      <c r="D98" s="99"/>
    </row>
    <row r="99" spans="3:4" x14ac:dyDescent="0.3">
      <c r="C99" s="99"/>
      <c r="D99" s="99"/>
    </row>
    <row r="100" spans="3:4" x14ac:dyDescent="0.3">
      <c r="C100" s="99"/>
      <c r="D100" s="99"/>
    </row>
    <row r="101" spans="3:4" x14ac:dyDescent="0.3">
      <c r="C101" s="99"/>
      <c r="D101" s="99"/>
    </row>
    <row r="102" spans="3:4" x14ac:dyDescent="0.3">
      <c r="C102" s="99"/>
      <c r="D102" s="99"/>
    </row>
    <row r="108" spans="3:4" ht="15.75" customHeight="1" x14ac:dyDescent="0.3"/>
    <row r="109" spans="3:4" x14ac:dyDescent="0.3">
      <c r="C109" s="99"/>
      <c r="D109" s="99"/>
    </row>
    <row r="115" spans="3:4" ht="15.75" customHeight="1" x14ac:dyDescent="0.3"/>
    <row r="116" spans="3:4" ht="15.75" customHeight="1" x14ac:dyDescent="0.3">
      <c r="C116" s="99"/>
      <c r="D116" s="99"/>
    </row>
    <row r="119" spans="3:4" ht="35.25" customHeight="1" x14ac:dyDescent="0.3"/>
    <row r="120" spans="3:4" ht="53.25" customHeight="1" x14ac:dyDescent="0.3"/>
    <row r="121" spans="3:4" ht="39" customHeight="1" x14ac:dyDescent="0.3"/>
    <row r="122" spans="3:4" ht="39.75" customHeight="1" x14ac:dyDescent="0.3"/>
    <row r="123" spans="3:4" ht="15.75" customHeight="1" x14ac:dyDescent="0.3">
      <c r="C123" s="99"/>
      <c r="D123" s="99"/>
    </row>
    <row r="124" spans="3:4" x14ac:dyDescent="0.3">
      <c r="C124" s="99"/>
      <c r="D124" s="99"/>
    </row>
    <row r="125" spans="3:4" x14ac:dyDescent="0.3">
      <c r="C125" s="99"/>
      <c r="D125" s="99"/>
    </row>
    <row r="126" spans="3:4" x14ac:dyDescent="0.3">
      <c r="C126" s="99"/>
      <c r="D126" s="99"/>
    </row>
    <row r="127" spans="3:4" x14ac:dyDescent="0.3">
      <c r="C127" s="99"/>
      <c r="D127" s="99"/>
    </row>
    <row r="128" spans="3:4" x14ac:dyDescent="0.3">
      <c r="C128" s="99"/>
      <c r="D128" s="99"/>
    </row>
    <row r="129" spans="3:4" x14ac:dyDescent="0.3">
      <c r="C129" s="99"/>
      <c r="D129" s="99"/>
    </row>
    <row r="130" spans="3:4" ht="15.75" customHeight="1" x14ac:dyDescent="0.3"/>
    <row r="131" spans="3:4" x14ac:dyDescent="0.3">
      <c r="C131" s="99"/>
      <c r="D131" s="99"/>
    </row>
    <row r="132" spans="3:4" x14ac:dyDescent="0.3">
      <c r="C132" s="99"/>
      <c r="D132" s="99"/>
    </row>
    <row r="137" spans="3:4" ht="15.75" customHeight="1" x14ac:dyDescent="0.3"/>
    <row r="144" spans="3:4" ht="15.75" customHeight="1" x14ac:dyDescent="0.3"/>
    <row r="145" spans="3:4" x14ac:dyDescent="0.3">
      <c r="C145" s="99"/>
      <c r="D145" s="99"/>
    </row>
    <row r="146" spans="3:4" x14ac:dyDescent="0.3">
      <c r="C146" s="99"/>
      <c r="D146" s="99"/>
    </row>
    <row r="147" spans="3:4" x14ac:dyDescent="0.3">
      <c r="C147" s="99"/>
      <c r="D147" s="99"/>
    </row>
    <row r="148" spans="3:4" x14ac:dyDescent="0.3">
      <c r="C148" s="99"/>
      <c r="D148" s="99"/>
    </row>
    <row r="149" spans="3:4" x14ac:dyDescent="0.3">
      <c r="C149" s="99"/>
      <c r="D149" s="99"/>
    </row>
    <row r="150" spans="3:4" x14ac:dyDescent="0.3">
      <c r="C150" s="99"/>
      <c r="D150" s="99"/>
    </row>
    <row r="152" spans="3:4" ht="56.25" customHeight="1" x14ac:dyDescent="0.3">
      <c r="C152" s="99"/>
      <c r="D152" s="99"/>
    </row>
    <row r="153" spans="3:4" ht="15.75" customHeight="1" x14ac:dyDescent="0.3">
      <c r="C153" s="99"/>
      <c r="D153" s="99"/>
    </row>
  </sheetData>
  <mergeCells count="39">
    <mergeCell ref="A50:F56"/>
    <mergeCell ref="A57:F63"/>
    <mergeCell ref="A36:A49"/>
    <mergeCell ref="B36:B49"/>
    <mergeCell ref="D36:D42"/>
    <mergeCell ref="E36:E42"/>
    <mergeCell ref="F36:F42"/>
    <mergeCell ref="D43:D49"/>
    <mergeCell ref="E43:E49"/>
    <mergeCell ref="F43:F49"/>
    <mergeCell ref="N2:P2"/>
    <mergeCell ref="N3:P3"/>
    <mergeCell ref="N4:P4"/>
    <mergeCell ref="N5:P5"/>
    <mergeCell ref="A10:A11"/>
    <mergeCell ref="B10:B11"/>
    <mergeCell ref="C10:C11"/>
    <mergeCell ref="D10:D11"/>
    <mergeCell ref="E10:E11"/>
    <mergeCell ref="F10:F11"/>
    <mergeCell ref="G10:G11"/>
    <mergeCell ref="H10:P10"/>
    <mergeCell ref="A8:P8"/>
    <mergeCell ref="Q19:U19"/>
    <mergeCell ref="C36:C49"/>
    <mergeCell ref="Q41:U41"/>
    <mergeCell ref="A13:P13"/>
    <mergeCell ref="A14:A27"/>
    <mergeCell ref="B14:B27"/>
    <mergeCell ref="C14:C20"/>
    <mergeCell ref="D14:D20"/>
    <mergeCell ref="E14:E20"/>
    <mergeCell ref="F14:F20"/>
    <mergeCell ref="C21:C27"/>
    <mergeCell ref="D21:D27"/>
    <mergeCell ref="E21:E27"/>
    <mergeCell ref="F21:F27"/>
    <mergeCell ref="A28:F34"/>
    <mergeCell ref="A35:P35"/>
  </mergeCells>
  <pageMargins left="0.59055118110236227" right="0.19685039370078741" top="0.15748031496062992" bottom="0.19685039370078741" header="0.15748031496062992" footer="0.19685039370078741"/>
  <pageSetup paperSize="9" scale="32" orientation="landscape" r:id="rId1"/>
  <rowBreaks count="2" manualBreakCount="2">
    <brk id="34" max="15" man="1"/>
    <brk id="1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Y28"/>
  <sheetViews>
    <sheetView view="pageBreakPreview" topLeftCell="A7" zoomScale="70" zoomScaleSheetLayoutView="70" workbookViewId="0">
      <selection activeCell="D5" sqref="D5:J5"/>
    </sheetView>
  </sheetViews>
  <sheetFormatPr defaultRowHeight="15.75" x14ac:dyDescent="0.2"/>
  <cols>
    <col min="1" max="1" width="9.140625" style="46"/>
    <col min="2" max="2" width="43.85546875" style="46" customWidth="1"/>
    <col min="3" max="3" width="20.85546875" style="46" customWidth="1"/>
    <col min="4" max="4" width="9.140625" style="49" customWidth="1"/>
    <col min="5" max="5" width="12.42578125" style="49" bestFit="1" customWidth="1"/>
    <col min="6" max="9" width="13.85546875" style="49" bestFit="1" customWidth="1"/>
    <col min="10" max="10" width="15" style="49" customWidth="1"/>
    <col min="11" max="11" width="18.140625" style="46" customWidth="1"/>
    <col min="12" max="16384" width="9.140625" style="46"/>
  </cols>
  <sheetData>
    <row r="1" spans="1:24" ht="19.5" x14ac:dyDescent="0.2">
      <c r="K1" s="48" t="s">
        <v>144</v>
      </c>
    </row>
    <row r="2" spans="1:24" x14ac:dyDescent="0.2">
      <c r="K2" s="47"/>
    </row>
    <row r="3" spans="1:24" ht="25.5" customHeight="1" x14ac:dyDescent="0.2">
      <c r="A3" s="397" t="s">
        <v>323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</row>
    <row r="4" spans="1:24" x14ac:dyDescent="0.2">
      <c r="A4" s="190"/>
    </row>
    <row r="5" spans="1:24" ht="137.25" customHeight="1" x14ac:dyDescent="0.2">
      <c r="A5" s="398" t="s">
        <v>42</v>
      </c>
      <c r="B5" s="398" t="s">
        <v>143</v>
      </c>
      <c r="C5" s="398" t="s">
        <v>142</v>
      </c>
      <c r="D5" s="399" t="s">
        <v>141</v>
      </c>
      <c r="E5" s="399"/>
      <c r="F5" s="399"/>
      <c r="G5" s="399"/>
      <c r="H5" s="399"/>
      <c r="I5" s="399"/>
      <c r="J5" s="399"/>
      <c r="K5" s="398" t="s">
        <v>140</v>
      </c>
    </row>
    <row r="6" spans="1:24" x14ac:dyDescent="0.2">
      <c r="A6" s="398"/>
      <c r="B6" s="398"/>
      <c r="C6" s="398"/>
      <c r="D6" s="197" t="s">
        <v>1</v>
      </c>
      <c r="E6" s="197" t="s">
        <v>0</v>
      </c>
      <c r="F6" s="197" t="s">
        <v>159</v>
      </c>
      <c r="G6" s="197" t="s">
        <v>160</v>
      </c>
      <c r="H6" s="197" t="s">
        <v>161</v>
      </c>
      <c r="I6" s="197" t="s">
        <v>191</v>
      </c>
      <c r="J6" s="197" t="s">
        <v>192</v>
      </c>
      <c r="K6" s="398"/>
    </row>
    <row r="7" spans="1:24" x14ac:dyDescent="0.2">
      <c r="A7" s="199">
        <v>1</v>
      </c>
      <c r="B7" s="199">
        <v>2</v>
      </c>
      <c r="C7" s="199">
        <v>3</v>
      </c>
      <c r="D7" s="197">
        <v>4</v>
      </c>
      <c r="E7" s="197">
        <v>4</v>
      </c>
      <c r="F7" s="197">
        <v>5</v>
      </c>
      <c r="G7" s="197">
        <v>6</v>
      </c>
      <c r="H7" s="197">
        <v>7</v>
      </c>
      <c r="I7" s="197">
        <v>8</v>
      </c>
      <c r="J7" s="197">
        <v>9</v>
      </c>
      <c r="K7" s="199">
        <v>10</v>
      </c>
    </row>
    <row r="8" spans="1:24" ht="53.25" customHeight="1" x14ac:dyDescent="0.2">
      <c r="A8" s="199">
        <v>1</v>
      </c>
      <c r="B8" s="200" t="s">
        <v>162</v>
      </c>
      <c r="C8" s="199" t="s">
        <v>163</v>
      </c>
      <c r="D8" s="197">
        <v>14889</v>
      </c>
      <c r="E8" s="196">
        <v>6700</v>
      </c>
      <c r="F8" s="196">
        <v>14889</v>
      </c>
      <c r="G8" s="196">
        <v>14889</v>
      </c>
      <c r="H8" s="196">
        <v>14889</v>
      </c>
      <c r="I8" s="196">
        <v>14889</v>
      </c>
      <c r="J8" s="196">
        <v>14889</v>
      </c>
      <c r="K8" s="201">
        <v>14889</v>
      </c>
    </row>
    <row r="9" spans="1:24" ht="71.25" customHeight="1" x14ac:dyDescent="0.2">
      <c r="A9" s="199">
        <v>2</v>
      </c>
      <c r="B9" s="200" t="s">
        <v>164</v>
      </c>
      <c r="C9" s="199" t="s">
        <v>165</v>
      </c>
      <c r="D9" s="197">
        <v>2</v>
      </c>
      <c r="E9" s="196">
        <v>0</v>
      </c>
      <c r="F9" s="196">
        <v>2</v>
      </c>
      <c r="G9" s="196">
        <v>2</v>
      </c>
      <c r="H9" s="196">
        <v>2</v>
      </c>
      <c r="I9" s="196">
        <v>2</v>
      </c>
      <c r="J9" s="196">
        <v>2</v>
      </c>
      <c r="K9" s="201">
        <v>2</v>
      </c>
    </row>
    <row r="10" spans="1:24" ht="69" customHeight="1" x14ac:dyDescent="0.2">
      <c r="A10" s="199">
        <v>3</v>
      </c>
      <c r="B10" s="200" t="s">
        <v>166</v>
      </c>
      <c r="C10" s="199" t="s">
        <v>165</v>
      </c>
      <c r="D10" s="197">
        <v>32</v>
      </c>
      <c r="E10" s="196">
        <v>5</v>
      </c>
      <c r="F10" s="196">
        <v>32</v>
      </c>
      <c r="G10" s="196">
        <v>32</v>
      </c>
      <c r="H10" s="196">
        <v>32</v>
      </c>
      <c r="I10" s="196">
        <v>32</v>
      </c>
      <c r="J10" s="196">
        <v>32</v>
      </c>
      <c r="K10" s="201">
        <v>32</v>
      </c>
    </row>
    <row r="11" spans="1:24" ht="67.5" customHeight="1" x14ac:dyDescent="0.2">
      <c r="A11" s="199">
        <v>4</v>
      </c>
      <c r="B11" s="200" t="s">
        <v>167</v>
      </c>
      <c r="C11" s="199" t="s">
        <v>165</v>
      </c>
      <c r="D11" s="197">
        <v>390</v>
      </c>
      <c r="E11" s="196">
        <v>70</v>
      </c>
      <c r="F11" s="196">
        <v>390</v>
      </c>
      <c r="G11" s="196">
        <v>390</v>
      </c>
      <c r="H11" s="196">
        <v>390</v>
      </c>
      <c r="I11" s="196">
        <v>390</v>
      </c>
      <c r="J11" s="196">
        <v>390</v>
      </c>
      <c r="K11" s="201">
        <v>390</v>
      </c>
    </row>
    <row r="12" spans="1:24" ht="105.75" customHeight="1" x14ac:dyDescent="0.2">
      <c r="A12" s="199">
        <v>5</v>
      </c>
      <c r="B12" s="200" t="s">
        <v>168</v>
      </c>
      <c r="C12" s="199" t="s">
        <v>165</v>
      </c>
      <c r="D12" s="197">
        <v>25</v>
      </c>
      <c r="E12" s="196">
        <v>7</v>
      </c>
      <c r="F12" s="196">
        <v>23</v>
      </c>
      <c r="G12" s="196">
        <v>23</v>
      </c>
      <c r="H12" s="196">
        <v>23</v>
      </c>
      <c r="I12" s="196">
        <v>23</v>
      </c>
      <c r="J12" s="196">
        <v>23</v>
      </c>
      <c r="K12" s="201">
        <v>23</v>
      </c>
    </row>
    <row r="13" spans="1:24" ht="81" customHeight="1" x14ac:dyDescent="0.2">
      <c r="A13" s="199">
        <v>6</v>
      </c>
      <c r="B13" s="200" t="s">
        <v>322</v>
      </c>
      <c r="C13" s="198" t="s">
        <v>229</v>
      </c>
      <c r="D13" s="185">
        <v>0</v>
      </c>
      <c r="E13" s="202" t="s">
        <v>321</v>
      </c>
      <c r="F13" s="202">
        <v>40</v>
      </c>
      <c r="G13" s="202">
        <v>40</v>
      </c>
      <c r="H13" s="202">
        <v>40</v>
      </c>
      <c r="I13" s="202">
        <v>40</v>
      </c>
      <c r="J13" s="202">
        <v>40</v>
      </c>
      <c r="K13" s="202">
        <v>40</v>
      </c>
    </row>
    <row r="14" spans="1:24" ht="80.25" customHeight="1" x14ac:dyDescent="0.2">
      <c r="A14" s="199">
        <v>7</v>
      </c>
      <c r="B14" s="200" t="s">
        <v>320</v>
      </c>
      <c r="C14" s="198" t="s">
        <v>319</v>
      </c>
      <c r="D14" s="185">
        <v>0</v>
      </c>
      <c r="E14" s="202" t="s">
        <v>318</v>
      </c>
      <c r="F14" s="202">
        <v>35</v>
      </c>
      <c r="G14" s="202">
        <v>25</v>
      </c>
      <c r="H14" s="202">
        <v>25</v>
      </c>
      <c r="I14" s="202">
        <v>25</v>
      </c>
      <c r="J14" s="202">
        <v>25</v>
      </c>
      <c r="K14" s="202">
        <v>25</v>
      </c>
      <c r="L14" s="395"/>
      <c r="M14" s="396"/>
      <c r="N14" s="396"/>
      <c r="O14" s="396"/>
      <c r="P14" s="396"/>
      <c r="Q14" s="396"/>
      <c r="R14" s="396"/>
      <c r="S14" s="396"/>
      <c r="T14" s="396"/>
      <c r="U14" s="396"/>
      <c r="V14" s="396"/>
      <c r="W14" s="396"/>
      <c r="X14" s="396"/>
    </row>
    <row r="15" spans="1:24" ht="84" customHeight="1" x14ac:dyDescent="0.2">
      <c r="A15" s="199">
        <v>8</v>
      </c>
      <c r="B15" s="200" t="s">
        <v>317</v>
      </c>
      <c r="C15" s="198" t="s">
        <v>229</v>
      </c>
      <c r="D15" s="185">
        <v>0</v>
      </c>
      <c r="E15" s="202">
        <v>29</v>
      </c>
      <c r="F15" s="202">
        <v>28</v>
      </c>
      <c r="G15" s="202">
        <v>28</v>
      </c>
      <c r="H15" s="202">
        <v>28</v>
      </c>
      <c r="I15" s="202">
        <v>28</v>
      </c>
      <c r="J15" s="202">
        <v>28</v>
      </c>
      <c r="K15" s="202">
        <v>28</v>
      </c>
    </row>
    <row r="16" spans="1:24" ht="82.5" customHeight="1" x14ac:dyDescent="0.2">
      <c r="A16" s="199">
        <v>9</v>
      </c>
      <c r="B16" s="200" t="s">
        <v>316</v>
      </c>
      <c r="C16" s="198" t="s">
        <v>229</v>
      </c>
      <c r="D16" s="185">
        <v>0</v>
      </c>
      <c r="E16" s="202">
        <v>39</v>
      </c>
      <c r="F16" s="202">
        <v>25</v>
      </c>
      <c r="G16" s="202">
        <v>35</v>
      </c>
      <c r="H16" s="202">
        <v>35</v>
      </c>
      <c r="I16" s="202">
        <v>35</v>
      </c>
      <c r="J16" s="202">
        <v>35</v>
      </c>
      <c r="K16" s="202">
        <v>35</v>
      </c>
    </row>
    <row r="17" spans="1:25" ht="101.25" customHeight="1" x14ac:dyDescent="0.2">
      <c r="A17" s="199">
        <v>10</v>
      </c>
      <c r="B17" s="200" t="s">
        <v>315</v>
      </c>
      <c r="C17" s="198" t="s">
        <v>229</v>
      </c>
      <c r="D17" s="185">
        <v>0</v>
      </c>
      <c r="E17" s="202">
        <v>123</v>
      </c>
      <c r="F17" s="202">
        <v>150</v>
      </c>
      <c r="G17" s="202">
        <v>90</v>
      </c>
      <c r="H17" s="202">
        <v>90</v>
      </c>
      <c r="I17" s="202">
        <v>90</v>
      </c>
      <c r="J17" s="202">
        <v>90</v>
      </c>
      <c r="K17" s="202">
        <v>90</v>
      </c>
    </row>
    <row r="18" spans="1:25" ht="96" customHeight="1" x14ac:dyDescent="0.2">
      <c r="A18" s="199">
        <v>11</v>
      </c>
      <c r="B18" s="200" t="s">
        <v>314</v>
      </c>
      <c r="C18" s="198" t="s">
        <v>229</v>
      </c>
      <c r="D18" s="185">
        <v>0</v>
      </c>
      <c r="E18" s="202">
        <v>29</v>
      </c>
      <c r="F18" s="202">
        <v>34</v>
      </c>
      <c r="G18" s="202">
        <v>30</v>
      </c>
      <c r="H18" s="202">
        <v>30</v>
      </c>
      <c r="I18" s="202">
        <v>30</v>
      </c>
      <c r="J18" s="202">
        <v>30</v>
      </c>
      <c r="K18" s="202">
        <v>30</v>
      </c>
    </row>
    <row r="19" spans="1:25" ht="110.25" customHeight="1" x14ac:dyDescent="0.2">
      <c r="A19" s="199">
        <v>12</v>
      </c>
      <c r="B19" s="200" t="s">
        <v>313</v>
      </c>
      <c r="C19" s="198" t="s">
        <v>229</v>
      </c>
      <c r="D19" s="185">
        <v>0</v>
      </c>
      <c r="E19" s="202">
        <v>18</v>
      </c>
      <c r="F19" s="202">
        <v>20</v>
      </c>
      <c r="G19" s="202">
        <v>35</v>
      </c>
      <c r="H19" s="202">
        <v>35</v>
      </c>
      <c r="I19" s="202">
        <v>35</v>
      </c>
      <c r="J19" s="202">
        <v>35</v>
      </c>
      <c r="K19" s="202">
        <v>35</v>
      </c>
    </row>
    <row r="20" spans="1:25" ht="116.25" customHeight="1" x14ac:dyDescent="0.2">
      <c r="A20" s="199">
        <v>13</v>
      </c>
      <c r="B20" s="200" t="s">
        <v>312</v>
      </c>
      <c r="C20" s="198" t="s">
        <v>229</v>
      </c>
      <c r="D20" s="185">
        <v>0</v>
      </c>
      <c r="E20" s="202">
        <v>0</v>
      </c>
      <c r="F20" s="202">
        <v>0</v>
      </c>
      <c r="G20" s="202">
        <v>14</v>
      </c>
      <c r="H20" s="202">
        <v>14</v>
      </c>
      <c r="I20" s="202">
        <v>14</v>
      </c>
      <c r="J20" s="202">
        <v>14</v>
      </c>
      <c r="K20" s="202">
        <v>14</v>
      </c>
      <c r="L20" s="395"/>
      <c r="M20" s="396"/>
      <c r="N20" s="396"/>
      <c r="O20" s="396"/>
      <c r="P20" s="396"/>
      <c r="Q20" s="396"/>
      <c r="R20" s="396"/>
      <c r="S20" s="396"/>
      <c r="T20" s="396"/>
      <c r="U20" s="396"/>
      <c r="V20" s="396"/>
      <c r="W20" s="396"/>
      <c r="X20" s="396"/>
      <c r="Y20" s="396"/>
    </row>
    <row r="21" spans="1:25" ht="82.5" customHeight="1" x14ac:dyDescent="0.2">
      <c r="A21" s="199">
        <v>14</v>
      </c>
      <c r="B21" s="200" t="s">
        <v>311</v>
      </c>
      <c r="C21" s="198" t="s">
        <v>229</v>
      </c>
      <c r="D21" s="197">
        <v>0</v>
      </c>
      <c r="E21" s="196">
        <v>21</v>
      </c>
      <c r="F21" s="196">
        <v>26</v>
      </c>
      <c r="G21" s="196">
        <v>26</v>
      </c>
      <c r="H21" s="196">
        <v>26</v>
      </c>
      <c r="I21" s="196">
        <v>26</v>
      </c>
      <c r="J21" s="196">
        <v>26</v>
      </c>
      <c r="K21" s="201">
        <v>26</v>
      </c>
    </row>
    <row r="22" spans="1:25" ht="84.75" customHeight="1" x14ac:dyDescent="0.2">
      <c r="A22" s="199">
        <v>15</v>
      </c>
      <c r="B22" s="200" t="s">
        <v>310</v>
      </c>
      <c r="C22" s="198" t="s">
        <v>229</v>
      </c>
      <c r="D22" s="197">
        <v>0</v>
      </c>
      <c r="E22" s="196">
        <v>70</v>
      </c>
      <c r="F22" s="196">
        <v>60</v>
      </c>
      <c r="G22" s="196">
        <v>100</v>
      </c>
      <c r="H22" s="196">
        <v>100</v>
      </c>
      <c r="I22" s="196">
        <v>100</v>
      </c>
      <c r="J22" s="196">
        <v>100</v>
      </c>
      <c r="K22" s="196">
        <v>100</v>
      </c>
    </row>
    <row r="23" spans="1:25" ht="80.25" customHeight="1" x14ac:dyDescent="0.2">
      <c r="A23" s="199">
        <v>16</v>
      </c>
      <c r="B23" s="200" t="s">
        <v>309</v>
      </c>
      <c r="C23" s="198" t="s">
        <v>229</v>
      </c>
      <c r="D23" s="197">
        <v>0</v>
      </c>
      <c r="E23" s="196">
        <v>16</v>
      </c>
      <c r="F23" s="196">
        <v>27</v>
      </c>
      <c r="G23" s="196">
        <v>24</v>
      </c>
      <c r="H23" s="196">
        <v>24</v>
      </c>
      <c r="I23" s="196">
        <v>24</v>
      </c>
      <c r="J23" s="196">
        <v>24</v>
      </c>
      <c r="K23" s="196">
        <v>24</v>
      </c>
    </row>
    <row r="24" spans="1:25" ht="108" customHeight="1" x14ac:dyDescent="0.2">
      <c r="A24" s="199">
        <v>17</v>
      </c>
      <c r="B24" s="200" t="s">
        <v>308</v>
      </c>
      <c r="C24" s="198" t="s">
        <v>229</v>
      </c>
      <c r="D24" s="197">
        <v>0</v>
      </c>
      <c r="E24" s="196">
        <v>25</v>
      </c>
      <c r="F24" s="196">
        <v>28</v>
      </c>
      <c r="G24" s="196">
        <v>28</v>
      </c>
      <c r="H24" s="196">
        <v>28</v>
      </c>
      <c r="I24" s="196">
        <v>28</v>
      </c>
      <c r="J24" s="196">
        <v>28</v>
      </c>
      <c r="K24" s="196">
        <v>28</v>
      </c>
    </row>
    <row r="25" spans="1:25" ht="112.5" customHeight="1" x14ac:dyDescent="0.2">
      <c r="A25" s="199">
        <v>18</v>
      </c>
      <c r="B25" s="200" t="s">
        <v>307</v>
      </c>
      <c r="C25" s="198" t="s">
        <v>229</v>
      </c>
      <c r="D25" s="197">
        <v>0</v>
      </c>
      <c r="E25" s="196">
        <v>6</v>
      </c>
      <c r="F25" s="196">
        <v>4</v>
      </c>
      <c r="G25" s="196">
        <v>4</v>
      </c>
      <c r="H25" s="196">
        <v>4</v>
      </c>
      <c r="I25" s="196">
        <v>4</v>
      </c>
      <c r="J25" s="196">
        <v>4</v>
      </c>
      <c r="K25" s="196">
        <v>4</v>
      </c>
    </row>
    <row r="26" spans="1:25" ht="99.75" customHeight="1" x14ac:dyDescent="0.2">
      <c r="A26" s="199">
        <v>19</v>
      </c>
      <c r="B26" s="200" t="s">
        <v>306</v>
      </c>
      <c r="C26" s="198" t="s">
        <v>229</v>
      </c>
      <c r="D26" s="197">
        <v>0</v>
      </c>
      <c r="E26" s="196">
        <v>0</v>
      </c>
      <c r="F26" s="196">
        <v>0</v>
      </c>
      <c r="G26" s="196">
        <v>0</v>
      </c>
      <c r="H26" s="196">
        <v>0</v>
      </c>
      <c r="I26" s="196">
        <v>0</v>
      </c>
      <c r="J26" s="196">
        <v>0</v>
      </c>
      <c r="K26" s="196">
        <v>0</v>
      </c>
    </row>
    <row r="27" spans="1:25" ht="95.25" customHeight="1" x14ac:dyDescent="0.2">
      <c r="A27" s="199">
        <v>20</v>
      </c>
      <c r="B27" s="200" t="s">
        <v>305</v>
      </c>
      <c r="C27" s="198" t="s">
        <v>229</v>
      </c>
      <c r="D27" s="197">
        <v>0</v>
      </c>
      <c r="E27" s="196">
        <v>29</v>
      </c>
      <c r="F27" s="196">
        <v>25</v>
      </c>
      <c r="G27" s="196">
        <v>25</v>
      </c>
      <c r="H27" s="196">
        <v>25</v>
      </c>
      <c r="I27" s="196">
        <v>25</v>
      </c>
      <c r="J27" s="196">
        <v>25</v>
      </c>
      <c r="K27" s="196">
        <v>25</v>
      </c>
    </row>
    <row r="28" spans="1:25" ht="66.75" customHeight="1" x14ac:dyDescent="0.2">
      <c r="A28" s="199">
        <v>21</v>
      </c>
      <c r="B28" s="198" t="s">
        <v>230</v>
      </c>
      <c r="C28" s="198" t="s">
        <v>165</v>
      </c>
      <c r="D28" s="197">
        <v>0</v>
      </c>
      <c r="E28" s="196">
        <v>13</v>
      </c>
      <c r="F28" s="196">
        <v>27</v>
      </c>
      <c r="G28" s="196">
        <v>29</v>
      </c>
      <c r="H28" s="196">
        <v>29</v>
      </c>
      <c r="I28" s="196">
        <v>29</v>
      </c>
      <c r="J28" s="196">
        <v>29</v>
      </c>
      <c r="K28" s="196">
        <v>29</v>
      </c>
    </row>
  </sheetData>
  <mergeCells count="8">
    <mergeCell ref="L14:X14"/>
    <mergeCell ref="L20:Y20"/>
    <mergeCell ref="A3:K3"/>
    <mergeCell ref="A5:A6"/>
    <mergeCell ref="B5:B6"/>
    <mergeCell ref="C5:C6"/>
    <mergeCell ref="D5:J5"/>
    <mergeCell ref="K5:K6"/>
  </mergeCells>
  <pageMargins left="0.55118110236220474" right="0" top="0.78740157480314965" bottom="0.19685039370078741" header="0.19685039370078741" footer="0.19685039370078741"/>
  <pageSetup paperSize="9" scale="77" orientation="landscape" r:id="rId1"/>
  <rowBreaks count="4" manualBreakCount="4">
    <brk id="11" max="10" man="1"/>
    <brk id="16" max="10" man="1"/>
    <brk id="20" max="10" man="1"/>
    <brk id="25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E33"/>
  <sheetViews>
    <sheetView view="pageBreakPreview" topLeftCell="A13" zoomScaleSheetLayoutView="100" workbookViewId="0">
      <selection activeCell="C12" sqref="C12"/>
    </sheetView>
  </sheetViews>
  <sheetFormatPr defaultRowHeight="15.75" x14ac:dyDescent="0.2"/>
  <cols>
    <col min="1" max="1" width="10.28515625" style="46" customWidth="1"/>
    <col min="2" max="2" width="29.42578125" style="46" customWidth="1"/>
    <col min="3" max="3" width="50.42578125" style="46" customWidth="1"/>
    <col min="4" max="4" width="76.7109375" style="46" customWidth="1"/>
    <col min="5" max="5" width="127.7109375" style="46" customWidth="1"/>
    <col min="6" max="16384" width="9.140625" style="46"/>
  </cols>
  <sheetData>
    <row r="1" spans="1:5" ht="19.5" x14ac:dyDescent="0.2">
      <c r="E1" s="48" t="s">
        <v>155</v>
      </c>
    </row>
    <row r="2" spans="1:5" x14ac:dyDescent="0.2">
      <c r="A2" s="47"/>
    </row>
    <row r="3" spans="1:5" ht="19.5" x14ac:dyDescent="0.2">
      <c r="A3" s="397" t="s">
        <v>154</v>
      </c>
      <c r="B3" s="397"/>
      <c r="C3" s="397"/>
      <c r="D3" s="397"/>
      <c r="E3" s="397"/>
    </row>
    <row r="4" spans="1:5" x14ac:dyDescent="0.2">
      <c r="A4" s="143"/>
    </row>
    <row r="5" spans="1:5" x14ac:dyDescent="0.2">
      <c r="A5" s="401" t="s">
        <v>42</v>
      </c>
      <c r="B5" s="401" t="s">
        <v>153</v>
      </c>
      <c r="C5" s="401"/>
      <c r="D5" s="401"/>
      <c r="E5" s="401" t="s">
        <v>152</v>
      </c>
    </row>
    <row r="6" spans="1:5" x14ac:dyDescent="0.2">
      <c r="A6" s="401"/>
      <c r="B6" s="401"/>
      <c r="C6" s="401"/>
      <c r="D6" s="401"/>
      <c r="E6" s="401"/>
    </row>
    <row r="7" spans="1:5" ht="67.5" customHeight="1" x14ac:dyDescent="0.2">
      <c r="A7" s="401"/>
      <c r="B7" s="144" t="s">
        <v>151</v>
      </c>
      <c r="C7" s="144" t="s">
        <v>150</v>
      </c>
      <c r="D7" s="144" t="s">
        <v>149</v>
      </c>
      <c r="E7" s="401"/>
    </row>
    <row r="8" spans="1:5" x14ac:dyDescent="0.2">
      <c r="A8" s="144">
        <v>1</v>
      </c>
      <c r="B8" s="144">
        <v>2</v>
      </c>
      <c r="C8" s="144">
        <v>3</v>
      </c>
      <c r="D8" s="144">
        <v>4</v>
      </c>
      <c r="E8" s="144">
        <v>5</v>
      </c>
    </row>
    <row r="9" spans="1:5" ht="39" customHeight="1" x14ac:dyDescent="0.2">
      <c r="A9" s="402" t="s">
        <v>239</v>
      </c>
      <c r="B9" s="402"/>
      <c r="C9" s="402"/>
      <c r="D9" s="402"/>
      <c r="E9" s="402"/>
    </row>
    <row r="10" spans="1:5" ht="32.25" customHeight="1" x14ac:dyDescent="0.2">
      <c r="A10" s="402" t="s">
        <v>242</v>
      </c>
      <c r="B10" s="402"/>
      <c r="C10" s="402"/>
      <c r="D10" s="402"/>
      <c r="E10" s="402"/>
    </row>
    <row r="11" spans="1:5" ht="21" customHeight="1" x14ac:dyDescent="0.2">
      <c r="A11" s="401" t="s">
        <v>243</v>
      </c>
      <c r="B11" s="401"/>
      <c r="C11" s="401"/>
      <c r="D11" s="401"/>
      <c r="E11" s="401"/>
    </row>
    <row r="12" spans="1:5" ht="300" customHeight="1" x14ac:dyDescent="0.2">
      <c r="A12" s="144" t="s">
        <v>26</v>
      </c>
      <c r="B12" s="58" t="s">
        <v>171</v>
      </c>
      <c r="C12" s="58" t="s">
        <v>176</v>
      </c>
      <c r="D12" s="59" t="s">
        <v>201</v>
      </c>
      <c r="E12" s="58" t="s">
        <v>219</v>
      </c>
    </row>
    <row r="13" spans="1:5" ht="189" customHeight="1" x14ac:dyDescent="0.2">
      <c r="A13" s="60" t="s">
        <v>10</v>
      </c>
      <c r="B13" s="58" t="s">
        <v>157</v>
      </c>
      <c r="C13" s="58" t="s">
        <v>172</v>
      </c>
      <c r="D13" s="59" t="s">
        <v>195</v>
      </c>
      <c r="E13" s="58" t="s">
        <v>220</v>
      </c>
    </row>
    <row r="14" spans="1:5" ht="186" customHeight="1" x14ac:dyDescent="0.2">
      <c r="A14" s="144" t="s">
        <v>11</v>
      </c>
      <c r="B14" s="58" t="s">
        <v>169</v>
      </c>
      <c r="C14" s="58" t="s">
        <v>173</v>
      </c>
      <c r="D14" s="59" t="s">
        <v>196</v>
      </c>
      <c r="E14" s="58" t="s">
        <v>221</v>
      </c>
    </row>
    <row r="15" spans="1:5" ht="381" customHeight="1" x14ac:dyDescent="0.2">
      <c r="A15" s="144" t="s">
        <v>35</v>
      </c>
      <c r="B15" s="58" t="s">
        <v>158</v>
      </c>
      <c r="C15" s="58" t="s">
        <v>187</v>
      </c>
      <c r="D15" s="59" t="s">
        <v>197</v>
      </c>
      <c r="E15" s="58" t="s">
        <v>222</v>
      </c>
    </row>
    <row r="16" spans="1:5" ht="384" customHeight="1" x14ac:dyDescent="0.2">
      <c r="A16" s="144" t="s">
        <v>12</v>
      </c>
      <c r="B16" s="58" t="s">
        <v>170</v>
      </c>
      <c r="C16" s="58" t="s">
        <v>175</v>
      </c>
      <c r="D16" s="59" t="s">
        <v>198</v>
      </c>
      <c r="E16" s="58" t="s">
        <v>223</v>
      </c>
    </row>
    <row r="17" spans="1:5" ht="37.5" customHeight="1" x14ac:dyDescent="0.2">
      <c r="A17" s="402" t="s">
        <v>239</v>
      </c>
      <c r="B17" s="402"/>
      <c r="C17" s="402"/>
      <c r="D17" s="402"/>
      <c r="E17" s="402"/>
    </row>
    <row r="18" spans="1:5" ht="20.25" customHeight="1" x14ac:dyDescent="0.2">
      <c r="A18" s="402" t="s">
        <v>241</v>
      </c>
      <c r="B18" s="402"/>
      <c r="C18" s="402"/>
      <c r="D18" s="402"/>
      <c r="E18" s="402"/>
    </row>
    <row r="19" spans="1:5" x14ac:dyDescent="0.2">
      <c r="A19" s="401" t="s">
        <v>123</v>
      </c>
      <c r="B19" s="401"/>
      <c r="C19" s="401"/>
      <c r="D19" s="401"/>
      <c r="E19" s="401"/>
    </row>
    <row r="20" spans="1:5" ht="189.75" customHeight="1" x14ac:dyDescent="0.2">
      <c r="A20" s="144" t="s">
        <v>13</v>
      </c>
      <c r="B20" s="58" t="s">
        <v>177</v>
      </c>
      <c r="C20" s="58" t="s">
        <v>182</v>
      </c>
      <c r="D20" s="59" t="s">
        <v>199</v>
      </c>
      <c r="E20" s="58" t="s">
        <v>224</v>
      </c>
    </row>
    <row r="21" spans="1:5" ht="350.25" customHeight="1" x14ac:dyDescent="0.2">
      <c r="A21" s="144" t="s">
        <v>15</v>
      </c>
      <c r="B21" s="58" t="s">
        <v>178</v>
      </c>
      <c r="C21" s="58" t="s">
        <v>174</v>
      </c>
      <c r="D21" s="59" t="s">
        <v>198</v>
      </c>
      <c r="E21" s="58" t="s">
        <v>225</v>
      </c>
    </row>
    <row r="22" spans="1:5" ht="258" customHeight="1" x14ac:dyDescent="0.2">
      <c r="A22" s="144" t="s">
        <v>17</v>
      </c>
      <c r="B22" s="58" t="s">
        <v>179</v>
      </c>
      <c r="C22" s="58" t="s">
        <v>183</v>
      </c>
      <c r="D22" s="59" t="s">
        <v>199</v>
      </c>
      <c r="E22" s="58" t="s">
        <v>225</v>
      </c>
    </row>
    <row r="23" spans="1:5" ht="209.25" customHeight="1" x14ac:dyDescent="0.2">
      <c r="A23" s="144" t="s">
        <v>54</v>
      </c>
      <c r="B23" s="58" t="s">
        <v>157</v>
      </c>
      <c r="C23" s="58" t="s">
        <v>184</v>
      </c>
      <c r="D23" s="59" t="s">
        <v>195</v>
      </c>
      <c r="E23" s="58" t="s">
        <v>226</v>
      </c>
    </row>
    <row r="24" spans="1:5" ht="202.5" customHeight="1" x14ac:dyDescent="0.2">
      <c r="A24" s="144" t="s">
        <v>27</v>
      </c>
      <c r="B24" s="58" t="s">
        <v>169</v>
      </c>
      <c r="C24" s="58" t="s">
        <v>173</v>
      </c>
      <c r="D24" s="59" t="s">
        <v>195</v>
      </c>
      <c r="E24" s="58" t="s">
        <v>227</v>
      </c>
    </row>
    <row r="25" spans="1:5" ht="42" customHeight="1" x14ac:dyDescent="0.2">
      <c r="A25" s="402" t="s">
        <v>239</v>
      </c>
      <c r="B25" s="402"/>
      <c r="C25" s="402"/>
      <c r="D25" s="402"/>
      <c r="E25" s="402"/>
    </row>
    <row r="26" spans="1:5" ht="26.25" customHeight="1" x14ac:dyDescent="0.2">
      <c r="A26" s="401" t="s">
        <v>240</v>
      </c>
      <c r="B26" s="401"/>
      <c r="C26" s="401"/>
      <c r="D26" s="401"/>
      <c r="E26" s="401"/>
    </row>
    <row r="27" spans="1:5" ht="21" customHeight="1" x14ac:dyDescent="0.2">
      <c r="A27" s="401" t="s">
        <v>28</v>
      </c>
      <c r="B27" s="401"/>
      <c r="C27" s="401"/>
      <c r="D27" s="401"/>
      <c r="E27" s="401"/>
    </row>
    <row r="28" spans="1:5" ht="372" customHeight="1" x14ac:dyDescent="0.2">
      <c r="A28" s="144" t="s">
        <v>48</v>
      </c>
      <c r="B28" s="58" t="s">
        <v>180</v>
      </c>
      <c r="C28" s="58" t="s">
        <v>186</v>
      </c>
      <c r="D28" s="59" t="s">
        <v>200</v>
      </c>
      <c r="E28" s="58" t="s">
        <v>228</v>
      </c>
    </row>
    <row r="29" spans="1:5" ht="387" customHeight="1" x14ac:dyDescent="0.2">
      <c r="A29" s="144" t="s">
        <v>46</v>
      </c>
      <c r="B29" s="58" t="s">
        <v>181</v>
      </c>
      <c r="C29" s="58" t="s">
        <v>185</v>
      </c>
      <c r="D29" s="59" t="s">
        <v>202</v>
      </c>
      <c r="E29" s="58" t="s">
        <v>228</v>
      </c>
    </row>
    <row r="30" spans="1:5" ht="18.75" customHeight="1" x14ac:dyDescent="0.2">
      <c r="A30" s="400" t="s">
        <v>148</v>
      </c>
      <c r="B30" s="400"/>
      <c r="C30" s="400"/>
      <c r="D30" s="400"/>
      <c r="E30" s="400"/>
    </row>
    <row r="31" spans="1:5" x14ac:dyDescent="0.2">
      <c r="A31" s="400" t="s">
        <v>147</v>
      </c>
      <c r="B31" s="400"/>
      <c r="C31" s="400"/>
      <c r="D31" s="400"/>
      <c r="E31" s="400"/>
    </row>
    <row r="32" spans="1:5" x14ac:dyDescent="0.2">
      <c r="A32" s="400" t="s">
        <v>146</v>
      </c>
      <c r="B32" s="400"/>
      <c r="C32" s="400"/>
      <c r="D32" s="400"/>
      <c r="E32" s="400"/>
    </row>
    <row r="33" spans="1:5" x14ac:dyDescent="0.2">
      <c r="A33" s="400" t="s">
        <v>145</v>
      </c>
      <c r="B33" s="400"/>
      <c r="C33" s="400"/>
      <c r="D33" s="400"/>
      <c r="E33" s="400"/>
    </row>
  </sheetData>
  <mergeCells count="17">
    <mergeCell ref="A33:E33"/>
    <mergeCell ref="A18:E18"/>
    <mergeCell ref="A19:E19"/>
    <mergeCell ref="A26:E26"/>
    <mergeCell ref="A27:E27"/>
    <mergeCell ref="A3:E3"/>
    <mergeCell ref="A30:E30"/>
    <mergeCell ref="A31:E31"/>
    <mergeCell ref="A32:E32"/>
    <mergeCell ref="A5:A7"/>
    <mergeCell ref="B5:D6"/>
    <mergeCell ref="E5:E7"/>
    <mergeCell ref="A9:E9"/>
    <mergeCell ref="A10:E10"/>
    <mergeCell ref="A11:E11"/>
    <mergeCell ref="A17:E17"/>
    <mergeCell ref="A25:E25"/>
  </mergeCells>
  <pageMargins left="0.15748031496062992" right="0.19685039370078741" top="0.55118110236220474" bottom="0" header="0.15748031496062992" footer="0"/>
  <pageSetup paperSize="9" scale="45" orientation="landscape" r:id="rId1"/>
  <rowBreaks count="3" manualBreakCount="3">
    <brk id="14" max="5" man="1"/>
    <brk id="20" max="5" man="1"/>
    <brk id="2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4" tint="0.59999389629810485"/>
  </sheetPr>
  <dimension ref="A2:G14"/>
  <sheetViews>
    <sheetView view="pageBreakPreview" zoomScale="75" zoomScaleNormal="70" zoomScaleSheetLayoutView="75" workbookViewId="0">
      <selection activeCell="A3" sqref="A3:F3"/>
    </sheetView>
  </sheetViews>
  <sheetFormatPr defaultRowHeight="12.75" x14ac:dyDescent="0.2"/>
  <cols>
    <col min="1" max="1" width="8.28515625" customWidth="1"/>
    <col min="2" max="2" width="24.85546875" customWidth="1"/>
    <col min="3" max="3" width="55.140625" customWidth="1"/>
    <col min="4" max="4" width="20.140625" customWidth="1"/>
    <col min="5" max="5" width="66.7109375" customWidth="1"/>
    <col min="6" max="6" width="27.85546875" customWidth="1"/>
    <col min="7" max="7" width="34.140625" customWidth="1"/>
    <col min="9" max="9" width="14.42578125" customWidth="1"/>
    <col min="12" max="12" width="34" customWidth="1"/>
  </cols>
  <sheetData>
    <row r="2" spans="1:7" ht="18.75" x14ac:dyDescent="0.2">
      <c r="F2" s="103" t="s">
        <v>156</v>
      </c>
    </row>
    <row r="3" spans="1:7" ht="43.5" customHeight="1" x14ac:dyDescent="0.2">
      <c r="A3" s="404" t="s">
        <v>271</v>
      </c>
      <c r="B3" s="404"/>
      <c r="C3" s="404"/>
      <c r="D3" s="404"/>
      <c r="E3" s="404"/>
      <c r="F3" s="404"/>
    </row>
    <row r="4" spans="1:7" ht="18.75" x14ac:dyDescent="0.2">
      <c r="A4" s="56"/>
    </row>
    <row r="5" spans="1:7" ht="110.25" x14ac:dyDescent="0.2">
      <c r="A5" s="104" t="s">
        <v>42</v>
      </c>
      <c r="B5" s="105" t="s">
        <v>114</v>
      </c>
      <c r="C5" s="105" t="s">
        <v>264</v>
      </c>
      <c r="D5" s="105" t="s">
        <v>265</v>
      </c>
      <c r="E5" s="105" t="s">
        <v>79</v>
      </c>
      <c r="F5" s="105" t="s">
        <v>266</v>
      </c>
    </row>
    <row r="6" spans="1:7" ht="19.5" customHeight="1" x14ac:dyDescent="0.2">
      <c r="A6" s="105">
        <v>1</v>
      </c>
      <c r="B6" s="105">
        <v>2</v>
      </c>
      <c r="C6" s="105">
        <v>3</v>
      </c>
      <c r="D6" s="105">
        <v>4</v>
      </c>
      <c r="E6" s="105">
        <v>5</v>
      </c>
      <c r="F6" s="105">
        <v>6</v>
      </c>
    </row>
    <row r="7" spans="1:7" ht="42.75" customHeight="1" x14ac:dyDescent="0.2">
      <c r="A7" s="405" t="s">
        <v>267</v>
      </c>
      <c r="B7" s="406"/>
      <c r="C7" s="406"/>
      <c r="D7" s="406"/>
      <c r="E7" s="406"/>
      <c r="F7" s="407"/>
    </row>
    <row r="8" spans="1:7" ht="177.75" customHeight="1" x14ac:dyDescent="0.2">
      <c r="A8" s="105" t="s">
        <v>26</v>
      </c>
      <c r="B8" s="104" t="s">
        <v>273</v>
      </c>
      <c r="C8" s="105" t="s">
        <v>275</v>
      </c>
      <c r="D8" s="105" t="s">
        <v>268</v>
      </c>
      <c r="E8" s="104" t="s">
        <v>272</v>
      </c>
      <c r="F8" s="104"/>
    </row>
    <row r="9" spans="1:7" ht="42.95" customHeight="1" x14ac:dyDescent="0.2">
      <c r="A9" s="106"/>
      <c r="B9" s="107"/>
      <c r="C9" s="107"/>
      <c r="D9" s="107"/>
      <c r="E9" s="107"/>
      <c r="F9" s="107"/>
      <c r="G9" s="108"/>
    </row>
    <row r="10" spans="1:7" ht="42.95" customHeight="1" x14ac:dyDescent="0.2">
      <c r="A10" s="403" t="s">
        <v>269</v>
      </c>
      <c r="B10" s="403"/>
    </row>
    <row r="11" spans="1:7" ht="42.95" customHeight="1" x14ac:dyDescent="0.2">
      <c r="A11" s="109" t="s">
        <v>270</v>
      </c>
    </row>
    <row r="12" spans="1:7" ht="42.95" customHeight="1" x14ac:dyDescent="0.2"/>
    <row r="13" spans="1:7" ht="34.5" customHeight="1" x14ac:dyDescent="0.2"/>
    <row r="14" spans="1:7" ht="15" x14ac:dyDescent="0.25">
      <c r="A14" s="55"/>
      <c r="B14" s="55"/>
      <c r="C14" s="55"/>
      <c r="D14" s="55"/>
      <c r="E14" s="55"/>
      <c r="F14" s="55"/>
      <c r="G14" s="55"/>
    </row>
  </sheetData>
  <mergeCells count="3">
    <mergeCell ref="A10:B10"/>
    <mergeCell ref="A3:F3"/>
    <mergeCell ref="A7:F7"/>
  </mergeCells>
  <pageMargins left="0.78740157480314965" right="0.19685039370078741" top="1.1417322834645669" bottom="0.15748031496062992" header="0.15748031496062992" footer="0.15748031496062992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9" tint="-0.249977111117893"/>
  </sheetPr>
  <dimension ref="A1:S195"/>
  <sheetViews>
    <sheetView topLeftCell="A4" zoomScale="85" zoomScaleSheetLayoutView="85" workbookViewId="0">
      <selection activeCell="H92" sqref="H92"/>
    </sheetView>
  </sheetViews>
  <sheetFormatPr defaultRowHeight="12.75" x14ac:dyDescent="0.2"/>
  <cols>
    <col min="1" max="1" width="7.42578125" style="1" customWidth="1"/>
    <col min="2" max="2" width="45.140625" style="5" customWidth="1"/>
    <col min="3" max="3" width="33.42578125" style="1" customWidth="1"/>
    <col min="4" max="4" width="28.7109375" style="4" customWidth="1"/>
    <col min="5" max="17" width="14.85546875" style="3" customWidth="1"/>
    <col min="18" max="19" width="9.140625" style="2"/>
    <col min="20" max="16384" width="9.140625" style="1"/>
  </cols>
  <sheetData>
    <row r="1" spans="1:19" ht="12.75" customHeight="1" x14ac:dyDescent="0.2">
      <c r="G1" s="427"/>
      <c r="H1" s="427"/>
      <c r="I1" s="427"/>
      <c r="K1" s="427"/>
      <c r="L1" s="427"/>
      <c r="M1" s="427"/>
      <c r="O1" s="427" t="s">
        <v>82</v>
      </c>
      <c r="P1" s="427"/>
      <c r="Q1" s="427"/>
    </row>
    <row r="2" spans="1:19" ht="12.75" customHeight="1" x14ac:dyDescent="0.2">
      <c r="G2" s="427"/>
      <c r="H2" s="427"/>
      <c r="I2" s="427"/>
      <c r="K2" s="427"/>
      <c r="L2" s="427"/>
      <c r="M2" s="427"/>
      <c r="O2" s="427"/>
      <c r="P2" s="427"/>
      <c r="Q2" s="427"/>
    </row>
    <row r="3" spans="1:19" ht="21" customHeight="1" x14ac:dyDescent="0.3">
      <c r="A3" s="428" t="s">
        <v>81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8"/>
      <c r="P3" s="428"/>
      <c r="Q3" s="428"/>
    </row>
    <row r="4" spans="1:19" ht="21" customHeight="1" x14ac:dyDescent="0.3">
      <c r="A4" s="428" t="s">
        <v>80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</row>
    <row r="5" spans="1:19" ht="12.75" customHeight="1" x14ac:dyDescent="0.2">
      <c r="C5" s="34"/>
    </row>
    <row r="6" spans="1:19" ht="12.75" customHeight="1" x14ac:dyDescent="0.2">
      <c r="A6" s="429" t="s">
        <v>42</v>
      </c>
      <c r="B6" s="431" t="s">
        <v>3</v>
      </c>
      <c r="C6" s="429" t="s">
        <v>79</v>
      </c>
      <c r="D6" s="433" t="s">
        <v>39</v>
      </c>
      <c r="E6" s="435" t="s">
        <v>34</v>
      </c>
      <c r="F6" s="436" t="s">
        <v>78</v>
      </c>
      <c r="G6" s="437"/>
      <c r="H6" s="437"/>
      <c r="I6" s="437"/>
      <c r="J6" s="437"/>
      <c r="K6" s="437"/>
      <c r="L6" s="437"/>
      <c r="M6" s="437"/>
      <c r="N6" s="437"/>
      <c r="O6" s="437"/>
      <c r="P6" s="437"/>
      <c r="Q6" s="438"/>
    </row>
    <row r="7" spans="1:19" ht="22.5" customHeight="1" x14ac:dyDescent="0.2">
      <c r="A7" s="430"/>
      <c r="B7" s="432"/>
      <c r="C7" s="430"/>
      <c r="D7" s="434"/>
      <c r="E7" s="435"/>
      <c r="F7" s="33" t="s">
        <v>77</v>
      </c>
      <c r="G7" s="33" t="s">
        <v>76</v>
      </c>
      <c r="H7" s="33" t="s">
        <v>29</v>
      </c>
      <c r="I7" s="33" t="s">
        <v>30</v>
      </c>
      <c r="J7" s="33" t="s">
        <v>31</v>
      </c>
      <c r="K7" s="33" t="s">
        <v>32</v>
      </c>
      <c r="L7" s="33" t="s">
        <v>33</v>
      </c>
      <c r="M7" s="33" t="s">
        <v>75</v>
      </c>
      <c r="N7" s="33" t="s">
        <v>74</v>
      </c>
      <c r="O7" s="33" t="s">
        <v>73</v>
      </c>
      <c r="P7" s="33" t="s">
        <v>72</v>
      </c>
      <c r="Q7" s="33" t="s">
        <v>71</v>
      </c>
    </row>
    <row r="8" spans="1:19" s="29" customFormat="1" ht="19.899999999999999" customHeight="1" x14ac:dyDescent="0.2">
      <c r="A8" s="31">
        <v>1</v>
      </c>
      <c r="B8" s="31">
        <v>2</v>
      </c>
      <c r="C8" s="32">
        <v>3</v>
      </c>
      <c r="D8" s="31">
        <v>3</v>
      </c>
      <c r="E8" s="31">
        <v>4</v>
      </c>
      <c r="F8" s="31">
        <v>5</v>
      </c>
      <c r="G8" s="31">
        <v>6</v>
      </c>
      <c r="H8" s="31">
        <v>7</v>
      </c>
      <c r="I8" s="31">
        <v>8</v>
      </c>
      <c r="J8" s="31">
        <v>9</v>
      </c>
      <c r="K8" s="31">
        <v>10</v>
      </c>
      <c r="L8" s="31">
        <v>11</v>
      </c>
      <c r="M8" s="31">
        <v>12</v>
      </c>
      <c r="N8" s="31">
        <v>13</v>
      </c>
      <c r="O8" s="31">
        <v>14</v>
      </c>
      <c r="P8" s="31">
        <v>15</v>
      </c>
      <c r="Q8" s="31">
        <v>16</v>
      </c>
      <c r="R8" s="30"/>
      <c r="S8" s="30"/>
    </row>
    <row r="9" spans="1:19" ht="17.45" customHeight="1" x14ac:dyDescent="0.2">
      <c r="A9" s="439" t="s">
        <v>23</v>
      </c>
      <c r="B9" s="440"/>
      <c r="C9" s="440"/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440"/>
      <c r="O9" s="440"/>
      <c r="P9" s="440"/>
      <c r="Q9" s="440"/>
    </row>
    <row r="10" spans="1:19" ht="12.75" customHeight="1" x14ac:dyDescent="0.2">
      <c r="A10" s="408" t="s">
        <v>26</v>
      </c>
      <c r="B10" s="408" t="s">
        <v>70</v>
      </c>
      <c r="C10" s="413" t="s">
        <v>16</v>
      </c>
      <c r="D10" s="21" t="s">
        <v>34</v>
      </c>
      <c r="E10" s="27">
        <f t="shared" ref="E10:Q10" si="0">SUM(E11:E15)</f>
        <v>36706.75</v>
      </c>
      <c r="F10" s="27">
        <f t="shared" si="0"/>
        <v>36706.75</v>
      </c>
      <c r="G10" s="27">
        <f t="shared" si="0"/>
        <v>0</v>
      </c>
      <c r="H10" s="27">
        <f t="shared" si="0"/>
        <v>0</v>
      </c>
      <c r="I10" s="27">
        <f t="shared" si="0"/>
        <v>0</v>
      </c>
      <c r="J10" s="27">
        <f t="shared" si="0"/>
        <v>0</v>
      </c>
      <c r="K10" s="27">
        <f t="shared" si="0"/>
        <v>0</v>
      </c>
      <c r="L10" s="27">
        <f t="shared" si="0"/>
        <v>0</v>
      </c>
      <c r="M10" s="27">
        <f t="shared" si="0"/>
        <v>0</v>
      </c>
      <c r="N10" s="27">
        <f t="shared" si="0"/>
        <v>0</v>
      </c>
      <c r="O10" s="27">
        <f t="shared" si="0"/>
        <v>0</v>
      </c>
      <c r="P10" s="27">
        <f t="shared" si="0"/>
        <v>0</v>
      </c>
      <c r="Q10" s="27">
        <f t="shared" si="0"/>
        <v>0</v>
      </c>
    </row>
    <row r="11" spans="1:19" ht="12.75" customHeight="1" x14ac:dyDescent="0.2">
      <c r="A11" s="409"/>
      <c r="B11" s="409"/>
      <c r="C11" s="413"/>
      <c r="D11" s="19" t="s">
        <v>6</v>
      </c>
      <c r="E11" s="17">
        <f>SUM(F11:Q11)</f>
        <v>0</v>
      </c>
      <c r="F11" s="17">
        <v>0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  <row r="12" spans="1:19" ht="12.75" customHeight="1" x14ac:dyDescent="0.2">
      <c r="A12" s="409"/>
      <c r="B12" s="409"/>
      <c r="C12" s="413"/>
      <c r="D12" s="19" t="s">
        <v>7</v>
      </c>
      <c r="E12" s="17">
        <f>SUM(F12:Q12)</f>
        <v>0</v>
      </c>
      <c r="F12" s="17">
        <v>0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9" ht="12.75" customHeight="1" x14ac:dyDescent="0.2">
      <c r="A13" s="409"/>
      <c r="B13" s="409"/>
      <c r="C13" s="413"/>
      <c r="D13" s="19" t="s">
        <v>8</v>
      </c>
      <c r="E13" s="17">
        <f>SUM(F13:Q13)</f>
        <v>15294.479170000001</v>
      </c>
      <c r="F13" s="17">
        <f>15269.47917+25</f>
        <v>15294.479170000001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9" ht="22.5" x14ac:dyDescent="0.2">
      <c r="A14" s="409"/>
      <c r="B14" s="409"/>
      <c r="C14" s="413"/>
      <c r="D14" s="19" t="s">
        <v>9</v>
      </c>
      <c r="E14" s="17">
        <f>SUM(F14:Q14)</f>
        <v>0</v>
      </c>
      <c r="F14" s="17">
        <v>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19" ht="12.75" customHeight="1" x14ac:dyDescent="0.2">
      <c r="A15" s="410"/>
      <c r="B15" s="409"/>
      <c r="C15" s="413"/>
      <c r="D15" s="19" t="s">
        <v>38</v>
      </c>
      <c r="E15" s="17">
        <f>SUM(F15:Q15)</f>
        <v>21412.270830000001</v>
      </c>
      <c r="F15" s="17">
        <f>21385.27083+27</f>
        <v>21412.270830000001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9" ht="12.75" customHeight="1" x14ac:dyDescent="0.2">
      <c r="A16" s="28"/>
      <c r="B16" s="408" t="s">
        <v>69</v>
      </c>
      <c r="C16" s="408" t="s">
        <v>22</v>
      </c>
      <c r="D16" s="21" t="s">
        <v>34</v>
      </c>
      <c r="E16" s="27">
        <f>SUM(E17:E21)</f>
        <v>13116.230000000001</v>
      </c>
      <c r="F16" s="27">
        <f>SUM(F17:F21)</f>
        <v>11062.69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"/>
      <c r="S16" s="1"/>
    </row>
    <row r="17" spans="1:19" ht="12.75" customHeight="1" x14ac:dyDescent="0.2">
      <c r="A17" s="28"/>
      <c r="B17" s="409"/>
      <c r="C17" s="409"/>
      <c r="D17" s="19" t="s">
        <v>6</v>
      </c>
      <c r="E17" s="17">
        <f>SUM(F17:Q17)</f>
        <v>0</v>
      </c>
      <c r="F17" s="17">
        <v>0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"/>
      <c r="S17" s="1"/>
    </row>
    <row r="18" spans="1:19" ht="12.75" customHeight="1" x14ac:dyDescent="0.2">
      <c r="A18" s="28"/>
      <c r="B18" s="409"/>
      <c r="C18" s="409"/>
      <c r="D18" s="19" t="s">
        <v>7</v>
      </c>
      <c r="E18" s="17">
        <f>SUM(F18:Q18)</f>
        <v>0</v>
      </c>
      <c r="F18" s="17">
        <v>0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"/>
      <c r="S18" s="1"/>
    </row>
    <row r="19" spans="1:19" ht="12.75" customHeight="1" x14ac:dyDescent="0.2">
      <c r="A19" s="28"/>
      <c r="B19" s="409"/>
      <c r="C19" s="409"/>
      <c r="D19" s="19" t="s">
        <v>8</v>
      </c>
      <c r="E19" s="17">
        <f>11062.7+2053.53</f>
        <v>13116.230000000001</v>
      </c>
      <c r="F19" s="17">
        <v>11062.69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"/>
      <c r="S19" s="1"/>
    </row>
    <row r="20" spans="1:19" ht="12.75" customHeight="1" x14ac:dyDescent="0.2">
      <c r="A20" s="28"/>
      <c r="B20" s="409"/>
      <c r="C20" s="409"/>
      <c r="D20" s="19" t="s">
        <v>9</v>
      </c>
      <c r="E20" s="17">
        <f>SUM(F20:Q20)</f>
        <v>0</v>
      </c>
      <c r="F20" s="17">
        <v>0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"/>
      <c r="S20" s="1"/>
    </row>
    <row r="21" spans="1:19" ht="13.5" customHeight="1" x14ac:dyDescent="0.2">
      <c r="A21" s="28"/>
      <c r="B21" s="410"/>
      <c r="C21" s="410"/>
      <c r="D21" s="19" t="s">
        <v>38</v>
      </c>
      <c r="E21" s="17">
        <f>SUM(F21:Q21)</f>
        <v>0</v>
      </c>
      <c r="F21" s="17">
        <v>0</v>
      </c>
      <c r="G21" s="19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"/>
      <c r="S21" s="1"/>
    </row>
    <row r="22" spans="1:19" ht="13.5" customHeight="1" x14ac:dyDescent="0.2">
      <c r="A22" s="28"/>
      <c r="B22" s="408" t="s">
        <v>68</v>
      </c>
      <c r="C22" s="408" t="s">
        <v>22</v>
      </c>
      <c r="D22" s="21" t="s">
        <v>34</v>
      </c>
      <c r="E22" s="27">
        <f>SUM(E23:E27)</f>
        <v>940.05</v>
      </c>
      <c r="F22" s="27">
        <f>SUM(F23:F27)</f>
        <v>940.05</v>
      </c>
      <c r="G22" s="19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"/>
      <c r="S22" s="1"/>
    </row>
    <row r="23" spans="1:19" ht="13.5" customHeight="1" x14ac:dyDescent="0.2">
      <c r="A23" s="28"/>
      <c r="B23" s="409"/>
      <c r="C23" s="409"/>
      <c r="D23" s="19" t="s">
        <v>6</v>
      </c>
      <c r="E23" s="17">
        <f>SUM(F23:Q23)</f>
        <v>0</v>
      </c>
      <c r="F23" s="17">
        <v>0</v>
      </c>
      <c r="G23" s="19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"/>
      <c r="S23" s="1"/>
    </row>
    <row r="24" spans="1:19" ht="13.5" customHeight="1" x14ac:dyDescent="0.2">
      <c r="A24" s="28"/>
      <c r="B24" s="409"/>
      <c r="C24" s="409"/>
      <c r="D24" s="19" t="s">
        <v>7</v>
      </c>
      <c r="E24" s="17">
        <f>SUM(F24:Q24)</f>
        <v>0</v>
      </c>
      <c r="F24" s="17">
        <v>0</v>
      </c>
      <c r="G24" s="19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"/>
      <c r="S24" s="1"/>
    </row>
    <row r="25" spans="1:19" ht="13.5" customHeight="1" x14ac:dyDescent="0.2">
      <c r="A25" s="28"/>
      <c r="B25" s="409"/>
      <c r="C25" s="409"/>
      <c r="D25" s="19" t="s">
        <v>8</v>
      </c>
      <c r="E25" s="17">
        <v>940.05</v>
      </c>
      <c r="F25" s="17">
        <v>940.05</v>
      </c>
      <c r="G25" s="19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"/>
      <c r="S25" s="1"/>
    </row>
    <row r="26" spans="1:19" ht="13.5" customHeight="1" x14ac:dyDescent="0.2">
      <c r="A26" s="28"/>
      <c r="B26" s="409"/>
      <c r="C26" s="409"/>
      <c r="D26" s="19" t="s">
        <v>9</v>
      </c>
      <c r="E26" s="17">
        <f>SUM(F26:Q26)</f>
        <v>0</v>
      </c>
      <c r="F26" s="17">
        <v>0</v>
      </c>
      <c r="G26" s="19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"/>
      <c r="S26" s="1"/>
    </row>
    <row r="27" spans="1:19" ht="13.5" customHeight="1" x14ac:dyDescent="0.2">
      <c r="A27" s="28"/>
      <c r="B27" s="410"/>
      <c r="C27" s="410"/>
      <c r="D27" s="19" t="s">
        <v>38</v>
      </c>
      <c r="E27" s="17">
        <f>SUM(F27:Q27)</f>
        <v>0</v>
      </c>
      <c r="F27" s="17">
        <v>0</v>
      </c>
      <c r="G27" s="19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"/>
      <c r="S27" s="1"/>
    </row>
    <row r="28" spans="1:19" ht="13.5" customHeight="1" x14ac:dyDescent="0.2">
      <c r="A28" s="28"/>
      <c r="B28" s="408" t="s">
        <v>67</v>
      </c>
      <c r="C28" s="408" t="s">
        <v>22</v>
      </c>
      <c r="D28" s="21" t="s">
        <v>34</v>
      </c>
      <c r="E28" s="27">
        <f>SUM(E29:E33)</f>
        <v>1213.2</v>
      </c>
      <c r="F28" s="27">
        <f>SUM(F29:F33)</f>
        <v>1213.2</v>
      </c>
      <c r="G28" s="19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"/>
      <c r="S28" s="1"/>
    </row>
    <row r="29" spans="1:19" ht="13.5" customHeight="1" x14ac:dyDescent="0.2">
      <c r="A29" s="28"/>
      <c r="B29" s="409"/>
      <c r="C29" s="409"/>
      <c r="D29" s="19" t="s">
        <v>6</v>
      </c>
      <c r="E29" s="17">
        <f>SUM(F29:Q29)</f>
        <v>0</v>
      </c>
      <c r="F29" s="17">
        <v>0</v>
      </c>
      <c r="G29" s="19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"/>
      <c r="S29" s="1"/>
    </row>
    <row r="30" spans="1:19" ht="13.5" customHeight="1" x14ac:dyDescent="0.2">
      <c r="A30" s="28"/>
      <c r="B30" s="409"/>
      <c r="C30" s="409"/>
      <c r="D30" s="19" t="s">
        <v>7</v>
      </c>
      <c r="E30" s="17">
        <f>SUM(F30:Q30)</f>
        <v>0</v>
      </c>
      <c r="F30" s="17">
        <v>0</v>
      </c>
      <c r="G30" s="19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"/>
      <c r="S30" s="1"/>
    </row>
    <row r="31" spans="1:19" ht="13.5" customHeight="1" x14ac:dyDescent="0.2">
      <c r="A31" s="28"/>
      <c r="B31" s="409"/>
      <c r="C31" s="409"/>
      <c r="D31" s="19" t="s">
        <v>8</v>
      </c>
      <c r="E31" s="17">
        <v>1213.2</v>
      </c>
      <c r="F31" s="17">
        <v>1213.2</v>
      </c>
      <c r="G31" s="19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"/>
      <c r="S31" s="1"/>
    </row>
    <row r="32" spans="1:19" ht="13.5" customHeight="1" x14ac:dyDescent="0.2">
      <c r="A32" s="28"/>
      <c r="B32" s="409"/>
      <c r="C32" s="409"/>
      <c r="D32" s="19" t="s">
        <v>9</v>
      </c>
      <c r="E32" s="17">
        <f>SUM(F32:Q32)</f>
        <v>0</v>
      </c>
      <c r="F32" s="17">
        <v>0</v>
      </c>
      <c r="G32" s="19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"/>
      <c r="S32" s="1"/>
    </row>
    <row r="33" spans="1:19" ht="13.5" customHeight="1" x14ac:dyDescent="0.2">
      <c r="A33" s="28"/>
      <c r="B33" s="410"/>
      <c r="C33" s="410"/>
      <c r="D33" s="19" t="s">
        <v>38</v>
      </c>
      <c r="E33" s="17">
        <f>SUM(F33:Q33)</f>
        <v>0</v>
      </c>
      <c r="F33" s="17">
        <v>0</v>
      </c>
      <c r="G33" s="19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"/>
      <c r="S33" s="1"/>
    </row>
    <row r="34" spans="1:19" ht="12.75" customHeight="1" x14ac:dyDescent="0.2">
      <c r="A34" s="422" t="s">
        <v>10</v>
      </c>
      <c r="B34" s="408" t="s">
        <v>66</v>
      </c>
      <c r="C34" s="413" t="s">
        <v>16</v>
      </c>
      <c r="D34" s="21" t="s">
        <v>34</v>
      </c>
      <c r="E34" s="27">
        <f t="shared" ref="E34:Q34" si="1">SUM(E35:E39)</f>
        <v>0</v>
      </c>
      <c r="F34" s="27">
        <f t="shared" si="1"/>
        <v>0</v>
      </c>
      <c r="G34" s="27">
        <f t="shared" si="1"/>
        <v>0</v>
      </c>
      <c r="H34" s="27">
        <f t="shared" si="1"/>
        <v>0</v>
      </c>
      <c r="I34" s="27">
        <f t="shared" si="1"/>
        <v>0</v>
      </c>
      <c r="J34" s="27">
        <f t="shared" si="1"/>
        <v>0</v>
      </c>
      <c r="K34" s="27">
        <f t="shared" si="1"/>
        <v>0</v>
      </c>
      <c r="L34" s="27">
        <f t="shared" si="1"/>
        <v>0</v>
      </c>
      <c r="M34" s="27">
        <f t="shared" si="1"/>
        <v>0</v>
      </c>
      <c r="N34" s="27">
        <f t="shared" si="1"/>
        <v>0</v>
      </c>
      <c r="O34" s="27">
        <f t="shared" si="1"/>
        <v>0</v>
      </c>
      <c r="P34" s="27">
        <f t="shared" si="1"/>
        <v>0</v>
      </c>
      <c r="Q34" s="27">
        <f t="shared" si="1"/>
        <v>0</v>
      </c>
      <c r="R34" s="1"/>
      <c r="S34" s="1"/>
    </row>
    <row r="35" spans="1:19" ht="12.75" customHeight="1" x14ac:dyDescent="0.2">
      <c r="A35" s="423"/>
      <c r="B35" s="409"/>
      <c r="C35" s="413"/>
      <c r="D35" s="19" t="s">
        <v>6</v>
      </c>
      <c r="E35" s="17">
        <f>SUM(F35:Q35)</f>
        <v>0</v>
      </c>
      <c r="F35" s="17">
        <v>0</v>
      </c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"/>
      <c r="S35" s="1"/>
    </row>
    <row r="36" spans="1:19" ht="12.75" customHeight="1" x14ac:dyDescent="0.2">
      <c r="A36" s="423"/>
      <c r="B36" s="409"/>
      <c r="C36" s="413"/>
      <c r="D36" s="19" t="s">
        <v>7</v>
      </c>
      <c r="E36" s="17">
        <f>SUM(F36:Q36)</f>
        <v>0</v>
      </c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"/>
      <c r="S36" s="1"/>
    </row>
    <row r="37" spans="1:19" ht="12.75" customHeight="1" x14ac:dyDescent="0.2">
      <c r="A37" s="423"/>
      <c r="B37" s="409"/>
      <c r="C37" s="413"/>
      <c r="D37" s="19" t="s">
        <v>8</v>
      </c>
      <c r="E37" s="17" t="s">
        <v>65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"/>
      <c r="S37" s="1"/>
    </row>
    <row r="38" spans="1:19" ht="22.5" x14ac:dyDescent="0.2">
      <c r="A38" s="423"/>
      <c r="B38" s="409"/>
      <c r="C38" s="413"/>
      <c r="D38" s="19" t="s">
        <v>9</v>
      </c>
      <c r="E38" s="17">
        <f>SUM(F38:Q38)</f>
        <v>0</v>
      </c>
      <c r="F38" s="17">
        <v>0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"/>
      <c r="S38" s="1"/>
    </row>
    <row r="39" spans="1:19" ht="12.75" customHeight="1" x14ac:dyDescent="0.2">
      <c r="A39" s="423"/>
      <c r="B39" s="409"/>
      <c r="C39" s="413"/>
      <c r="D39" s="19" t="s">
        <v>38</v>
      </c>
      <c r="E39" s="17">
        <f>SUM(F39:Q39)</f>
        <v>0</v>
      </c>
      <c r="F39" s="17">
        <v>0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"/>
      <c r="S39" s="1"/>
    </row>
    <row r="40" spans="1:19" ht="12.75" customHeight="1" x14ac:dyDescent="0.2">
      <c r="A40" s="423"/>
      <c r="B40" s="409"/>
      <c r="C40" s="413" t="s">
        <v>25</v>
      </c>
      <c r="D40" s="21" t="s">
        <v>34</v>
      </c>
      <c r="E40" s="27">
        <f t="shared" ref="E40:Q40" si="2">SUM(E41:E45)</f>
        <v>113000</v>
      </c>
      <c r="F40" s="27">
        <f t="shared" si="2"/>
        <v>113000</v>
      </c>
      <c r="G40" s="27">
        <f t="shared" si="2"/>
        <v>0</v>
      </c>
      <c r="H40" s="27">
        <f t="shared" si="2"/>
        <v>0</v>
      </c>
      <c r="I40" s="27">
        <f t="shared" si="2"/>
        <v>0</v>
      </c>
      <c r="J40" s="27">
        <f t="shared" si="2"/>
        <v>0</v>
      </c>
      <c r="K40" s="27">
        <f t="shared" si="2"/>
        <v>0</v>
      </c>
      <c r="L40" s="27">
        <f t="shared" si="2"/>
        <v>0</v>
      </c>
      <c r="M40" s="27">
        <f t="shared" si="2"/>
        <v>0</v>
      </c>
      <c r="N40" s="27">
        <f t="shared" si="2"/>
        <v>0</v>
      </c>
      <c r="O40" s="27">
        <f t="shared" si="2"/>
        <v>0</v>
      </c>
      <c r="P40" s="27">
        <f t="shared" si="2"/>
        <v>0</v>
      </c>
      <c r="Q40" s="27">
        <f t="shared" si="2"/>
        <v>0</v>
      </c>
      <c r="R40" s="1"/>
      <c r="S40" s="1"/>
    </row>
    <row r="41" spans="1:19" ht="12.75" customHeight="1" x14ac:dyDescent="0.2">
      <c r="A41" s="423"/>
      <c r="B41" s="409"/>
      <c r="C41" s="413"/>
      <c r="D41" s="19" t="s">
        <v>6</v>
      </c>
      <c r="E41" s="17">
        <f>SUM(F41:Q41)</f>
        <v>0</v>
      </c>
      <c r="F41" s="17">
        <v>0</v>
      </c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"/>
      <c r="S41" s="1"/>
    </row>
    <row r="42" spans="1:19" ht="12.75" customHeight="1" x14ac:dyDescent="0.2">
      <c r="A42" s="423"/>
      <c r="B42" s="409"/>
      <c r="C42" s="413"/>
      <c r="D42" s="19" t="s">
        <v>7</v>
      </c>
      <c r="E42" s="17">
        <f>SUM(F42:Q42)</f>
        <v>0</v>
      </c>
      <c r="F42" s="17">
        <v>0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"/>
      <c r="S42" s="1"/>
    </row>
    <row r="43" spans="1:19" ht="12.75" customHeight="1" x14ac:dyDescent="0.2">
      <c r="A43" s="423"/>
      <c r="B43" s="409"/>
      <c r="C43" s="413"/>
      <c r="D43" s="19" t="s">
        <v>8</v>
      </c>
      <c r="E43" s="17">
        <f>SUM(F43:Q43)</f>
        <v>0</v>
      </c>
      <c r="F43" s="17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"/>
      <c r="S43" s="1"/>
    </row>
    <row r="44" spans="1:19" ht="22.5" x14ac:dyDescent="0.2">
      <c r="A44" s="423"/>
      <c r="B44" s="409"/>
      <c r="C44" s="413"/>
      <c r="D44" s="19" t="s">
        <v>9</v>
      </c>
      <c r="E44" s="17">
        <f>SUM(F44:Q44)</f>
        <v>0</v>
      </c>
      <c r="F44" s="17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"/>
      <c r="S44" s="1"/>
    </row>
    <row r="45" spans="1:19" ht="12.75" customHeight="1" x14ac:dyDescent="0.2">
      <c r="A45" s="424"/>
      <c r="B45" s="410"/>
      <c r="C45" s="413"/>
      <c r="D45" s="19" t="s">
        <v>38</v>
      </c>
      <c r="E45" s="17">
        <f>SUM(F45:Q45)</f>
        <v>113000</v>
      </c>
      <c r="F45" s="17">
        <v>113000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"/>
      <c r="S45" s="1"/>
    </row>
    <row r="46" spans="1:19" ht="12.75" customHeight="1" x14ac:dyDescent="0.2">
      <c r="A46" s="422"/>
      <c r="B46" s="408" t="s">
        <v>64</v>
      </c>
      <c r="C46" s="413" t="s">
        <v>25</v>
      </c>
      <c r="D46" s="21" t="s">
        <v>34</v>
      </c>
      <c r="E46" s="27">
        <f>SUM(E47:E51)</f>
        <v>113000</v>
      </c>
      <c r="F46" s="27">
        <f>SUM(F47:F51)</f>
        <v>113000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"/>
      <c r="S46" s="1"/>
    </row>
    <row r="47" spans="1:19" ht="12.75" customHeight="1" x14ac:dyDescent="0.2">
      <c r="A47" s="423"/>
      <c r="B47" s="409"/>
      <c r="C47" s="413"/>
      <c r="D47" s="19" t="s">
        <v>6</v>
      </c>
      <c r="E47" s="17">
        <f>SUM(F47:Q47)</f>
        <v>0</v>
      </c>
      <c r="F47" s="17">
        <v>0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"/>
      <c r="S47" s="1"/>
    </row>
    <row r="48" spans="1:19" ht="12.75" customHeight="1" x14ac:dyDescent="0.2">
      <c r="A48" s="423"/>
      <c r="B48" s="409"/>
      <c r="C48" s="413"/>
      <c r="D48" s="19" t="s">
        <v>7</v>
      </c>
      <c r="E48" s="17">
        <f>SUM(F48:Q48)</f>
        <v>0</v>
      </c>
      <c r="F48" s="17">
        <v>0</v>
      </c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"/>
      <c r="S48" s="1"/>
    </row>
    <row r="49" spans="1:19" ht="12.75" customHeight="1" x14ac:dyDescent="0.2">
      <c r="A49" s="423"/>
      <c r="B49" s="409"/>
      <c r="C49" s="413"/>
      <c r="D49" s="19" t="s">
        <v>8</v>
      </c>
      <c r="E49" s="17">
        <f>SUM(F49:Q49)</f>
        <v>0</v>
      </c>
      <c r="F49" s="17">
        <v>0</v>
      </c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"/>
      <c r="S49" s="1"/>
    </row>
    <row r="50" spans="1:19" ht="12.75" customHeight="1" x14ac:dyDescent="0.2">
      <c r="A50" s="423"/>
      <c r="B50" s="409"/>
      <c r="C50" s="413"/>
      <c r="D50" s="19" t="s">
        <v>9</v>
      </c>
      <c r="E50" s="17">
        <f>SUM(F50:Q50)</f>
        <v>0</v>
      </c>
      <c r="F50" s="17">
        <v>0</v>
      </c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"/>
      <c r="S50" s="1"/>
    </row>
    <row r="51" spans="1:19" ht="16.5" customHeight="1" x14ac:dyDescent="0.2">
      <c r="A51" s="424"/>
      <c r="B51" s="410"/>
      <c r="C51" s="413"/>
      <c r="D51" s="19" t="s">
        <v>38</v>
      </c>
      <c r="E51" s="17">
        <f>SUM(F51:Q51)</f>
        <v>113000</v>
      </c>
      <c r="F51" s="17">
        <v>113000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"/>
      <c r="S51" s="1"/>
    </row>
    <row r="52" spans="1:19" ht="12.75" customHeight="1" x14ac:dyDescent="0.2">
      <c r="A52" s="408" t="s">
        <v>11</v>
      </c>
      <c r="B52" s="408" t="s">
        <v>63</v>
      </c>
      <c r="C52" s="413" t="s">
        <v>25</v>
      </c>
      <c r="D52" s="21" t="s">
        <v>34</v>
      </c>
      <c r="E52" s="27">
        <f t="shared" ref="E52:Q52" si="3">SUM(E53:E57)</f>
        <v>0</v>
      </c>
      <c r="F52" s="27">
        <f t="shared" si="3"/>
        <v>0</v>
      </c>
      <c r="G52" s="27">
        <f t="shared" si="3"/>
        <v>0</v>
      </c>
      <c r="H52" s="27">
        <f t="shared" si="3"/>
        <v>0</v>
      </c>
      <c r="I52" s="27">
        <f t="shared" si="3"/>
        <v>0</v>
      </c>
      <c r="J52" s="27">
        <f t="shared" si="3"/>
        <v>0</v>
      </c>
      <c r="K52" s="27">
        <f t="shared" si="3"/>
        <v>0</v>
      </c>
      <c r="L52" s="27">
        <f t="shared" si="3"/>
        <v>0</v>
      </c>
      <c r="M52" s="27">
        <f t="shared" si="3"/>
        <v>0</v>
      </c>
      <c r="N52" s="27">
        <f t="shared" si="3"/>
        <v>0</v>
      </c>
      <c r="O52" s="27">
        <f t="shared" si="3"/>
        <v>0</v>
      </c>
      <c r="P52" s="27">
        <f t="shared" si="3"/>
        <v>0</v>
      </c>
      <c r="Q52" s="27">
        <f t="shared" si="3"/>
        <v>0</v>
      </c>
      <c r="R52" s="1"/>
      <c r="S52" s="1"/>
    </row>
    <row r="53" spans="1:19" ht="12.75" customHeight="1" x14ac:dyDescent="0.2">
      <c r="A53" s="409"/>
      <c r="B53" s="409"/>
      <c r="C53" s="413"/>
      <c r="D53" s="19" t="s">
        <v>6</v>
      </c>
      <c r="E53" s="17">
        <f>SUM(F53:Q53)</f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"/>
      <c r="S53" s="1"/>
    </row>
    <row r="54" spans="1:19" ht="12.75" customHeight="1" x14ac:dyDescent="0.2">
      <c r="A54" s="409"/>
      <c r="B54" s="409"/>
      <c r="C54" s="413"/>
      <c r="D54" s="19" t="s">
        <v>7</v>
      </c>
      <c r="E54" s="17">
        <f>SUM(F54:Q54)</f>
        <v>0</v>
      </c>
      <c r="F54" s="17">
        <v>0</v>
      </c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"/>
      <c r="S54" s="1"/>
    </row>
    <row r="55" spans="1:19" ht="12.75" customHeight="1" x14ac:dyDescent="0.2">
      <c r="A55" s="409"/>
      <c r="B55" s="409"/>
      <c r="C55" s="413"/>
      <c r="D55" s="19" t="s">
        <v>8</v>
      </c>
      <c r="E55" s="17">
        <f>SUM(F55:Q55)</f>
        <v>0</v>
      </c>
      <c r="F55" s="17">
        <v>0</v>
      </c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"/>
      <c r="S55" s="1"/>
    </row>
    <row r="56" spans="1:19" ht="22.5" x14ac:dyDescent="0.2">
      <c r="A56" s="409"/>
      <c r="B56" s="409"/>
      <c r="C56" s="413"/>
      <c r="D56" s="19" t="s">
        <v>9</v>
      </c>
      <c r="E56" s="17">
        <f>SUM(F56:Q56)</f>
        <v>0</v>
      </c>
      <c r="F56" s="17">
        <v>0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"/>
      <c r="S56" s="1"/>
    </row>
    <row r="57" spans="1:19" ht="12.75" customHeight="1" x14ac:dyDescent="0.2">
      <c r="A57" s="409"/>
      <c r="B57" s="409"/>
      <c r="C57" s="413"/>
      <c r="D57" s="19" t="s">
        <v>38</v>
      </c>
      <c r="E57" s="17">
        <f>SUM(F57:Q57)</f>
        <v>0</v>
      </c>
      <c r="F57" s="17">
        <v>0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"/>
      <c r="S57" s="1"/>
    </row>
    <row r="58" spans="1:19" ht="12.75" customHeight="1" x14ac:dyDescent="0.2">
      <c r="A58" s="409"/>
      <c r="B58" s="409"/>
      <c r="C58" s="413" t="s">
        <v>16</v>
      </c>
      <c r="D58" s="21" t="s">
        <v>34</v>
      </c>
      <c r="E58" s="27">
        <f t="shared" ref="E58:Q58" si="4">E59+E60+E61+E62+E63</f>
        <v>13402.130000000001</v>
      </c>
      <c r="F58" s="27">
        <f t="shared" si="4"/>
        <v>13402.130000000001</v>
      </c>
      <c r="G58" s="27">
        <f t="shared" si="4"/>
        <v>0</v>
      </c>
      <c r="H58" s="27">
        <f t="shared" si="4"/>
        <v>0</v>
      </c>
      <c r="I58" s="27">
        <f t="shared" si="4"/>
        <v>0</v>
      </c>
      <c r="J58" s="27">
        <f t="shared" si="4"/>
        <v>0</v>
      </c>
      <c r="K58" s="27">
        <f t="shared" si="4"/>
        <v>0</v>
      </c>
      <c r="L58" s="27">
        <f t="shared" si="4"/>
        <v>0</v>
      </c>
      <c r="M58" s="27">
        <f t="shared" si="4"/>
        <v>0</v>
      </c>
      <c r="N58" s="27">
        <f t="shared" si="4"/>
        <v>0</v>
      </c>
      <c r="O58" s="27">
        <f t="shared" si="4"/>
        <v>0</v>
      </c>
      <c r="P58" s="27">
        <f t="shared" si="4"/>
        <v>0</v>
      </c>
      <c r="Q58" s="27">
        <f t="shared" si="4"/>
        <v>0</v>
      </c>
      <c r="R58" s="1"/>
      <c r="S58" s="1"/>
    </row>
    <row r="59" spans="1:19" ht="12.75" customHeight="1" x14ac:dyDescent="0.2">
      <c r="A59" s="409"/>
      <c r="B59" s="409"/>
      <c r="C59" s="413"/>
      <c r="D59" s="19" t="s">
        <v>6</v>
      </c>
      <c r="E59" s="17">
        <f>SUM(F59:Q59)</f>
        <v>0</v>
      </c>
      <c r="F59" s="17">
        <v>0</v>
      </c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"/>
      <c r="S59" s="1"/>
    </row>
    <row r="60" spans="1:19" ht="12.75" customHeight="1" x14ac:dyDescent="0.2">
      <c r="A60" s="409"/>
      <c r="B60" s="409"/>
      <c r="C60" s="413"/>
      <c r="D60" s="19" t="s">
        <v>7</v>
      </c>
      <c r="E60" s="17">
        <f>SUM(F60:Q60)</f>
        <v>0</v>
      </c>
      <c r="F60" s="17">
        <v>0</v>
      </c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"/>
      <c r="S60" s="1"/>
    </row>
    <row r="61" spans="1:19" ht="12.75" customHeight="1" x14ac:dyDescent="0.2">
      <c r="A61" s="409"/>
      <c r="B61" s="409"/>
      <c r="C61" s="413"/>
      <c r="D61" s="19" t="s">
        <v>8</v>
      </c>
      <c r="E61" s="17">
        <f>SUM(F61:Q61)</f>
        <v>0</v>
      </c>
      <c r="F61" s="17">
        <v>0</v>
      </c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"/>
      <c r="S61" s="1"/>
    </row>
    <row r="62" spans="1:19" ht="22.5" x14ac:dyDescent="0.2">
      <c r="A62" s="409"/>
      <c r="B62" s="409"/>
      <c r="C62" s="413"/>
      <c r="D62" s="19" t="s">
        <v>9</v>
      </c>
      <c r="E62" s="17">
        <f>SUM(F62:Q62)</f>
        <v>0</v>
      </c>
      <c r="F62" s="17">
        <v>0</v>
      </c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"/>
      <c r="S62" s="1"/>
    </row>
    <row r="63" spans="1:19" ht="12.75" customHeight="1" x14ac:dyDescent="0.2">
      <c r="A63" s="410"/>
      <c r="B63" s="410"/>
      <c r="C63" s="413"/>
      <c r="D63" s="22" t="s">
        <v>38</v>
      </c>
      <c r="E63" s="17">
        <f>SUM(F63:Q63)</f>
        <v>13402.130000000001</v>
      </c>
      <c r="F63" s="17">
        <f>8375+5027.13</f>
        <v>13402.130000000001</v>
      </c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"/>
      <c r="S63" s="1"/>
    </row>
    <row r="64" spans="1:19" ht="12.75" customHeight="1" x14ac:dyDescent="0.2">
      <c r="A64" s="28"/>
      <c r="B64" s="408" t="s">
        <v>51</v>
      </c>
      <c r="C64" s="413" t="s">
        <v>22</v>
      </c>
      <c r="D64" s="21" t="s">
        <v>34</v>
      </c>
      <c r="E64" s="27">
        <f>E65+E66+E67+E68+E69</f>
        <v>13402.130000000001</v>
      </c>
      <c r="F64" s="27">
        <f>F65+F66+F67+F68+F69</f>
        <v>13402.130000000001</v>
      </c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"/>
      <c r="S64" s="1"/>
    </row>
    <row r="65" spans="1:19" ht="12.75" customHeight="1" x14ac:dyDescent="0.2">
      <c r="A65" s="28"/>
      <c r="B65" s="409"/>
      <c r="C65" s="413"/>
      <c r="D65" s="19" t="s">
        <v>6</v>
      </c>
      <c r="E65" s="17">
        <f>SUM(F65:Q65)</f>
        <v>0</v>
      </c>
      <c r="F65" s="17">
        <v>0</v>
      </c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"/>
      <c r="S65" s="1"/>
    </row>
    <row r="66" spans="1:19" ht="12.75" customHeight="1" x14ac:dyDescent="0.2">
      <c r="A66" s="28"/>
      <c r="B66" s="409"/>
      <c r="C66" s="413"/>
      <c r="D66" s="19" t="s">
        <v>7</v>
      </c>
      <c r="E66" s="17">
        <f>SUM(F66:Q66)</f>
        <v>0</v>
      </c>
      <c r="F66" s="17">
        <v>0</v>
      </c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"/>
      <c r="S66" s="1"/>
    </row>
    <row r="67" spans="1:19" ht="12.75" customHeight="1" x14ac:dyDescent="0.2">
      <c r="A67" s="28"/>
      <c r="B67" s="409"/>
      <c r="C67" s="413"/>
      <c r="D67" s="19" t="s">
        <v>8</v>
      </c>
      <c r="E67" s="17">
        <f>SUM(F67:Q67)</f>
        <v>0</v>
      </c>
      <c r="F67" s="17">
        <v>0</v>
      </c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"/>
      <c r="S67" s="1"/>
    </row>
    <row r="68" spans="1:19" ht="12.75" customHeight="1" x14ac:dyDescent="0.2">
      <c r="A68" s="28"/>
      <c r="B68" s="409"/>
      <c r="C68" s="413"/>
      <c r="D68" s="19" t="s">
        <v>9</v>
      </c>
      <c r="E68" s="17">
        <f>SUM(F68:Q68)</f>
        <v>0</v>
      </c>
      <c r="F68" s="17">
        <v>0</v>
      </c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"/>
      <c r="S68" s="1"/>
    </row>
    <row r="69" spans="1:19" ht="12.75" customHeight="1" x14ac:dyDescent="0.2">
      <c r="A69" s="28"/>
      <c r="B69" s="410"/>
      <c r="C69" s="413"/>
      <c r="D69" s="22" t="s">
        <v>38</v>
      </c>
      <c r="E69" s="17">
        <f>SUM(F69:Q69)</f>
        <v>13402.130000000001</v>
      </c>
      <c r="F69" s="17">
        <f>8375+5027.13</f>
        <v>13402.130000000001</v>
      </c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"/>
      <c r="S69" s="1"/>
    </row>
    <row r="70" spans="1:19" ht="12.75" customHeight="1" x14ac:dyDescent="0.2">
      <c r="A70" s="408" t="s">
        <v>35</v>
      </c>
      <c r="B70" s="408" t="s">
        <v>62</v>
      </c>
      <c r="C70" s="422" t="s">
        <v>61</v>
      </c>
      <c r="D70" s="21" t="s">
        <v>34</v>
      </c>
      <c r="E70" s="27">
        <f t="shared" ref="E70:Q70" si="5">E71+E72+E73+E74+E75</f>
        <v>90515.232799999998</v>
      </c>
      <c r="F70" s="27">
        <f t="shared" si="5"/>
        <v>90515.232799999998</v>
      </c>
      <c r="G70" s="27">
        <f t="shared" si="5"/>
        <v>0</v>
      </c>
      <c r="H70" s="27">
        <f t="shared" si="5"/>
        <v>0</v>
      </c>
      <c r="I70" s="27">
        <f t="shared" si="5"/>
        <v>0</v>
      </c>
      <c r="J70" s="27">
        <f t="shared" si="5"/>
        <v>0</v>
      </c>
      <c r="K70" s="27">
        <f t="shared" si="5"/>
        <v>0</v>
      </c>
      <c r="L70" s="27">
        <f t="shared" si="5"/>
        <v>0</v>
      </c>
      <c r="M70" s="27">
        <f t="shared" si="5"/>
        <v>0</v>
      </c>
      <c r="N70" s="27">
        <f t="shared" si="5"/>
        <v>0</v>
      </c>
      <c r="O70" s="27">
        <f t="shared" si="5"/>
        <v>0</v>
      </c>
      <c r="P70" s="27">
        <f t="shared" si="5"/>
        <v>0</v>
      </c>
      <c r="Q70" s="27">
        <f t="shared" si="5"/>
        <v>0</v>
      </c>
      <c r="R70" s="1"/>
      <c r="S70" s="1"/>
    </row>
    <row r="71" spans="1:19" ht="12.75" customHeight="1" x14ac:dyDescent="0.2">
      <c r="A71" s="409"/>
      <c r="B71" s="409"/>
      <c r="C71" s="423"/>
      <c r="D71" s="19" t="s">
        <v>6</v>
      </c>
      <c r="E71" s="17">
        <f>SUM(F71:Q71)</f>
        <v>0</v>
      </c>
      <c r="F71" s="17">
        <v>0</v>
      </c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"/>
      <c r="S71" s="1"/>
    </row>
    <row r="72" spans="1:19" ht="12.75" customHeight="1" x14ac:dyDescent="0.2">
      <c r="A72" s="409"/>
      <c r="B72" s="409"/>
      <c r="C72" s="423"/>
      <c r="D72" s="19" t="s">
        <v>7</v>
      </c>
      <c r="E72" s="17">
        <f>SUM(F72:Q72)</f>
        <v>0</v>
      </c>
      <c r="F72" s="17">
        <v>0</v>
      </c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"/>
      <c r="S72" s="1"/>
    </row>
    <row r="73" spans="1:19" ht="12.75" customHeight="1" x14ac:dyDescent="0.2">
      <c r="A73" s="409"/>
      <c r="B73" s="409"/>
      <c r="C73" s="423"/>
      <c r="D73" s="19" t="s">
        <v>8</v>
      </c>
      <c r="E73" s="17">
        <f>SUM(F73:Q73)</f>
        <v>57515.622000000003</v>
      </c>
      <c r="F73" s="17">
        <v>57515.622000000003</v>
      </c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"/>
      <c r="S73" s="1"/>
    </row>
    <row r="74" spans="1:19" ht="30.75" customHeight="1" x14ac:dyDescent="0.2">
      <c r="A74" s="409"/>
      <c r="B74" s="409"/>
      <c r="C74" s="423"/>
      <c r="D74" s="19" t="s">
        <v>9</v>
      </c>
      <c r="E74" s="17">
        <f>SUM(F74:Q74)</f>
        <v>0</v>
      </c>
      <c r="F74" s="17">
        <v>0</v>
      </c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"/>
      <c r="S74" s="1"/>
    </row>
    <row r="75" spans="1:19" ht="12.75" customHeight="1" x14ac:dyDescent="0.2">
      <c r="A75" s="409"/>
      <c r="B75" s="409"/>
      <c r="C75" s="424"/>
      <c r="D75" s="22" t="s">
        <v>38</v>
      </c>
      <c r="E75" s="17">
        <f>SUM(F75:Q75)</f>
        <v>32999.610800000002</v>
      </c>
      <c r="F75" s="17">
        <v>32999.610800000002</v>
      </c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"/>
      <c r="S75" s="1"/>
    </row>
    <row r="76" spans="1:19" ht="12.75" customHeight="1" x14ac:dyDescent="0.2">
      <c r="A76" s="413" t="s">
        <v>12</v>
      </c>
      <c r="B76" s="413" t="s">
        <v>60</v>
      </c>
      <c r="C76" s="413" t="s">
        <v>22</v>
      </c>
      <c r="D76" s="21" t="s">
        <v>34</v>
      </c>
      <c r="E76" s="27">
        <f t="shared" ref="E76:Q76" si="6">E77+E78+E79+E80+E81</f>
        <v>4187</v>
      </c>
      <c r="F76" s="27">
        <f t="shared" si="6"/>
        <v>4187</v>
      </c>
      <c r="G76" s="27">
        <f t="shared" si="6"/>
        <v>0</v>
      </c>
      <c r="H76" s="27">
        <f t="shared" si="6"/>
        <v>0</v>
      </c>
      <c r="I76" s="27">
        <f t="shared" si="6"/>
        <v>0</v>
      </c>
      <c r="J76" s="27">
        <f t="shared" si="6"/>
        <v>0</v>
      </c>
      <c r="K76" s="27">
        <f t="shared" si="6"/>
        <v>0</v>
      </c>
      <c r="L76" s="27">
        <f t="shared" si="6"/>
        <v>0</v>
      </c>
      <c r="M76" s="27">
        <f t="shared" si="6"/>
        <v>0</v>
      </c>
      <c r="N76" s="27">
        <f t="shared" si="6"/>
        <v>0</v>
      </c>
      <c r="O76" s="27">
        <f t="shared" si="6"/>
        <v>0</v>
      </c>
      <c r="P76" s="27">
        <f t="shared" si="6"/>
        <v>0</v>
      </c>
      <c r="Q76" s="27">
        <f t="shared" si="6"/>
        <v>0</v>
      </c>
      <c r="R76" s="1"/>
      <c r="S76" s="1"/>
    </row>
    <row r="77" spans="1:19" ht="12.75" customHeight="1" x14ac:dyDescent="0.2">
      <c r="A77" s="413"/>
      <c r="B77" s="413"/>
      <c r="C77" s="413"/>
      <c r="D77" s="19" t="s">
        <v>6</v>
      </c>
      <c r="E77" s="17">
        <f>SUM(F77:Q77)</f>
        <v>0</v>
      </c>
      <c r="F77" s="17">
        <v>0</v>
      </c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"/>
      <c r="S77" s="1"/>
    </row>
    <row r="78" spans="1:19" ht="12.75" customHeight="1" x14ac:dyDescent="0.2">
      <c r="A78" s="413"/>
      <c r="B78" s="413"/>
      <c r="C78" s="413"/>
      <c r="D78" s="19" t="s">
        <v>7</v>
      </c>
      <c r="E78" s="17">
        <f>SUM(F78:Q78)</f>
        <v>271</v>
      </c>
      <c r="F78" s="17">
        <v>271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"/>
      <c r="S78" s="1"/>
    </row>
    <row r="79" spans="1:19" ht="12.75" customHeight="1" x14ac:dyDescent="0.2">
      <c r="A79" s="413"/>
      <c r="B79" s="413"/>
      <c r="C79" s="413"/>
      <c r="D79" s="19" t="s">
        <v>8</v>
      </c>
      <c r="E79" s="17">
        <f>SUM(F79:Q79)</f>
        <v>47.82</v>
      </c>
      <c r="F79" s="17">
        <v>47.82</v>
      </c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"/>
      <c r="S79" s="1"/>
    </row>
    <row r="80" spans="1:19" ht="22.5" x14ac:dyDescent="0.2">
      <c r="A80" s="413"/>
      <c r="B80" s="413"/>
      <c r="C80" s="413"/>
      <c r="D80" s="19" t="s">
        <v>9</v>
      </c>
      <c r="E80" s="17">
        <f>SUM(F80:Q80)</f>
        <v>0</v>
      </c>
      <c r="F80" s="17">
        <v>0</v>
      </c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"/>
      <c r="S80" s="1"/>
    </row>
    <row r="81" spans="1:19" ht="12.75" customHeight="1" x14ac:dyDescent="0.2">
      <c r="A81" s="413"/>
      <c r="B81" s="413"/>
      <c r="C81" s="413"/>
      <c r="D81" s="22" t="s">
        <v>38</v>
      </c>
      <c r="E81" s="17">
        <f>SUM(F81:Q81)</f>
        <v>3868.18</v>
      </c>
      <c r="F81" s="17">
        <v>3868.18</v>
      </c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"/>
      <c r="S81" s="1"/>
    </row>
    <row r="82" spans="1:19" ht="15.75" customHeight="1" x14ac:dyDescent="0.2">
      <c r="A82" s="414" t="s">
        <v>59</v>
      </c>
      <c r="B82" s="414"/>
      <c r="C82" s="415"/>
      <c r="D82" s="16" t="s">
        <v>34</v>
      </c>
      <c r="E82" s="15">
        <f>E83+E84+E85+E86+E87</f>
        <v>257811.1128</v>
      </c>
      <c r="F82" s="15">
        <f>F83+F84+F85+F86+F87</f>
        <v>257811.1128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"/>
      <c r="S82" s="1"/>
    </row>
    <row r="83" spans="1:19" ht="15.75" customHeight="1" x14ac:dyDescent="0.2">
      <c r="A83" s="414"/>
      <c r="B83" s="414"/>
      <c r="C83" s="416"/>
      <c r="D83" s="14" t="s">
        <v>6</v>
      </c>
      <c r="E83" s="13">
        <f>E11+E35+E41+E53+E59+E71+E77</f>
        <v>0</v>
      </c>
      <c r="F83" s="13">
        <f>F11+F35+F41+F53+F59+F71+F77</f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"/>
      <c r="S83" s="1"/>
    </row>
    <row r="84" spans="1:19" ht="15.75" customHeight="1" x14ac:dyDescent="0.2">
      <c r="A84" s="414"/>
      <c r="B84" s="414"/>
      <c r="C84" s="416"/>
      <c r="D84" s="14" t="s">
        <v>7</v>
      </c>
      <c r="E84" s="13">
        <f t="shared" ref="E84:F87" si="7">E12+E36+E42+E54+E60+E72+E78</f>
        <v>271</v>
      </c>
      <c r="F84" s="13">
        <f t="shared" si="7"/>
        <v>271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"/>
      <c r="S84" s="1"/>
    </row>
    <row r="85" spans="1:19" ht="15.75" customHeight="1" x14ac:dyDescent="0.2">
      <c r="A85" s="414"/>
      <c r="B85" s="414"/>
      <c r="C85" s="416"/>
      <c r="D85" s="14" t="s">
        <v>8</v>
      </c>
      <c r="E85" s="13">
        <f>F85</f>
        <v>72857.921170000016</v>
      </c>
      <c r="F85" s="13">
        <f t="shared" si="7"/>
        <v>72857.921170000016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"/>
      <c r="S85" s="1"/>
    </row>
    <row r="86" spans="1:19" ht="22.5" x14ac:dyDescent="0.2">
      <c r="A86" s="414"/>
      <c r="B86" s="414"/>
      <c r="C86" s="416"/>
      <c r="D86" s="14" t="s">
        <v>9</v>
      </c>
      <c r="E86" s="13">
        <f t="shared" si="7"/>
        <v>0</v>
      </c>
      <c r="F86" s="13">
        <f t="shared" si="7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"/>
      <c r="S86" s="1"/>
    </row>
    <row r="87" spans="1:19" ht="15.75" customHeight="1" x14ac:dyDescent="0.2">
      <c r="A87" s="414"/>
      <c r="B87" s="414"/>
      <c r="C87" s="417"/>
      <c r="D87" s="14" t="s">
        <v>38</v>
      </c>
      <c r="E87" s="13">
        <f t="shared" si="7"/>
        <v>184682.19162999999</v>
      </c>
      <c r="F87" s="13">
        <f t="shared" si="7"/>
        <v>184682.19162999999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"/>
      <c r="S87" s="1"/>
    </row>
    <row r="88" spans="1:19" ht="15.75" customHeight="1" x14ac:dyDescent="0.2">
      <c r="A88" s="425" t="s">
        <v>58</v>
      </c>
      <c r="B88" s="426"/>
      <c r="C88" s="426"/>
      <c r="D88" s="426"/>
      <c r="E88" s="426"/>
      <c r="F88" s="426"/>
      <c r="G88" s="426"/>
      <c r="H88" s="426"/>
      <c r="I88" s="426"/>
      <c r="J88" s="426"/>
      <c r="K88" s="426"/>
      <c r="L88" s="426"/>
      <c r="M88" s="426"/>
      <c r="N88" s="426"/>
      <c r="O88" s="426"/>
      <c r="P88" s="426"/>
      <c r="Q88" s="426"/>
      <c r="R88" s="1"/>
      <c r="S88" s="1"/>
    </row>
    <row r="89" spans="1:19" ht="12.75" customHeight="1" x14ac:dyDescent="0.2">
      <c r="A89" s="413" t="s">
        <v>13</v>
      </c>
      <c r="B89" s="413" t="s">
        <v>57</v>
      </c>
      <c r="C89" s="413" t="s">
        <v>50</v>
      </c>
      <c r="D89" s="21" t="s">
        <v>34</v>
      </c>
      <c r="E89" s="20">
        <f t="shared" ref="E89:Q89" si="8">E90+E91+E92+E93+E94</f>
        <v>2679.7</v>
      </c>
      <c r="F89" s="20">
        <f t="shared" si="8"/>
        <v>2679.7</v>
      </c>
      <c r="G89" s="20">
        <f t="shared" si="8"/>
        <v>0</v>
      </c>
      <c r="H89" s="20">
        <f t="shared" si="8"/>
        <v>0</v>
      </c>
      <c r="I89" s="20">
        <f t="shared" si="8"/>
        <v>0</v>
      </c>
      <c r="J89" s="20">
        <f t="shared" si="8"/>
        <v>0</v>
      </c>
      <c r="K89" s="20">
        <f t="shared" si="8"/>
        <v>0</v>
      </c>
      <c r="L89" s="20">
        <f t="shared" si="8"/>
        <v>0</v>
      </c>
      <c r="M89" s="20">
        <f t="shared" si="8"/>
        <v>0</v>
      </c>
      <c r="N89" s="20">
        <f t="shared" si="8"/>
        <v>0</v>
      </c>
      <c r="O89" s="20">
        <f t="shared" si="8"/>
        <v>0</v>
      </c>
      <c r="P89" s="20">
        <f t="shared" si="8"/>
        <v>0</v>
      </c>
      <c r="Q89" s="20">
        <f t="shared" si="8"/>
        <v>0</v>
      </c>
      <c r="R89" s="1"/>
      <c r="S89" s="1"/>
    </row>
    <row r="90" spans="1:19" ht="12.75" customHeight="1" x14ac:dyDescent="0.2">
      <c r="A90" s="413"/>
      <c r="B90" s="413"/>
      <c r="C90" s="413"/>
      <c r="D90" s="19" t="s">
        <v>6</v>
      </c>
      <c r="E90" s="18">
        <f>SUM(F90:Q90)</f>
        <v>0</v>
      </c>
      <c r="F90" s="18">
        <v>0</v>
      </c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"/>
      <c r="S90" s="1"/>
    </row>
    <row r="91" spans="1:19" ht="12.75" customHeight="1" x14ac:dyDescent="0.2">
      <c r="A91" s="413"/>
      <c r="B91" s="413"/>
      <c r="C91" s="413"/>
      <c r="D91" s="19" t="s">
        <v>7</v>
      </c>
      <c r="E91" s="18">
        <f>SUM(F91:Q91)</f>
        <v>0</v>
      </c>
      <c r="F91" s="18">
        <v>0</v>
      </c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</row>
    <row r="92" spans="1:19" ht="12.75" customHeight="1" x14ac:dyDescent="0.2">
      <c r="A92" s="413"/>
      <c r="B92" s="413"/>
      <c r="C92" s="413"/>
      <c r="D92" s="19" t="s">
        <v>8</v>
      </c>
      <c r="E92" s="18">
        <f>SUM(F92:Q92)</f>
        <v>1029.0418299999999</v>
      </c>
      <c r="F92" s="18">
        <v>1029.0418299999999</v>
      </c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</row>
    <row r="93" spans="1:19" ht="22.5" x14ac:dyDescent="0.2">
      <c r="A93" s="413"/>
      <c r="B93" s="413"/>
      <c r="C93" s="413"/>
      <c r="D93" s="19" t="s">
        <v>9</v>
      </c>
      <c r="E93" s="18">
        <f>SUM(F93:Q93)</f>
        <v>0</v>
      </c>
      <c r="F93" s="18">
        <v>0</v>
      </c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</row>
    <row r="94" spans="1:19" ht="12.75" customHeight="1" x14ac:dyDescent="0.2">
      <c r="A94" s="413"/>
      <c r="B94" s="413"/>
      <c r="C94" s="413"/>
      <c r="D94" s="19" t="s">
        <v>38</v>
      </c>
      <c r="E94" s="18">
        <f>SUM(F94:Q94)</f>
        <v>1650.6581699999999</v>
      </c>
      <c r="F94" s="18">
        <v>1650.6581699999999</v>
      </c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</row>
    <row r="95" spans="1:19" ht="12.75" customHeight="1" x14ac:dyDescent="0.2">
      <c r="A95" s="413" t="s">
        <v>15</v>
      </c>
      <c r="B95" s="413" t="s">
        <v>56</v>
      </c>
      <c r="C95" s="413" t="s">
        <v>50</v>
      </c>
      <c r="D95" s="21" t="s">
        <v>34</v>
      </c>
      <c r="E95" s="20">
        <f t="shared" ref="E95:Q95" si="9">E96+E97+E98+E99+E100</f>
        <v>780</v>
      </c>
      <c r="F95" s="20">
        <f t="shared" si="9"/>
        <v>780</v>
      </c>
      <c r="G95" s="20">
        <f t="shared" si="9"/>
        <v>0</v>
      </c>
      <c r="H95" s="20">
        <f t="shared" si="9"/>
        <v>0</v>
      </c>
      <c r="I95" s="20">
        <f t="shared" si="9"/>
        <v>0</v>
      </c>
      <c r="J95" s="20">
        <f t="shared" si="9"/>
        <v>0</v>
      </c>
      <c r="K95" s="20">
        <f t="shared" si="9"/>
        <v>0</v>
      </c>
      <c r="L95" s="20">
        <f t="shared" si="9"/>
        <v>0</v>
      </c>
      <c r="M95" s="20">
        <f t="shared" si="9"/>
        <v>0</v>
      </c>
      <c r="N95" s="20">
        <f t="shared" si="9"/>
        <v>0</v>
      </c>
      <c r="O95" s="20">
        <f t="shared" si="9"/>
        <v>0</v>
      </c>
      <c r="P95" s="20">
        <f t="shared" si="9"/>
        <v>0</v>
      </c>
      <c r="Q95" s="20">
        <f t="shared" si="9"/>
        <v>0</v>
      </c>
      <c r="R95" s="1"/>
      <c r="S95" s="1"/>
    </row>
    <row r="96" spans="1:19" ht="12.75" customHeight="1" x14ac:dyDescent="0.2">
      <c r="A96" s="413"/>
      <c r="B96" s="413"/>
      <c r="C96" s="413"/>
      <c r="D96" s="19" t="s">
        <v>6</v>
      </c>
      <c r="E96" s="18">
        <f>SUM(F96:Q96)</f>
        <v>0</v>
      </c>
      <c r="F96" s="17">
        <v>0</v>
      </c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"/>
      <c r="S96" s="1"/>
    </row>
    <row r="97" spans="1:19" ht="12.75" customHeight="1" x14ac:dyDescent="0.2">
      <c r="A97" s="413"/>
      <c r="B97" s="413"/>
      <c r="C97" s="413"/>
      <c r="D97" s="19" t="s">
        <v>7</v>
      </c>
      <c r="E97" s="18">
        <f>SUM(F97:Q97)</f>
        <v>0</v>
      </c>
      <c r="F97" s="17">
        <v>0</v>
      </c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"/>
      <c r="S97" s="1"/>
    </row>
    <row r="98" spans="1:19" ht="12.75" customHeight="1" x14ac:dyDescent="0.2">
      <c r="A98" s="413"/>
      <c r="B98" s="413"/>
      <c r="C98" s="413"/>
      <c r="D98" s="19" t="s">
        <v>8</v>
      </c>
      <c r="E98" s="18">
        <f>SUM(F98:Q98)</f>
        <v>0</v>
      </c>
      <c r="F98" s="17">
        <v>0</v>
      </c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"/>
      <c r="S98" s="1"/>
    </row>
    <row r="99" spans="1:19" ht="22.5" x14ac:dyDescent="0.2">
      <c r="A99" s="413"/>
      <c r="B99" s="413"/>
      <c r="C99" s="413"/>
      <c r="D99" s="19" t="s">
        <v>9</v>
      </c>
      <c r="E99" s="18">
        <f>SUM(F99:Q99)</f>
        <v>0</v>
      </c>
      <c r="F99" s="17">
        <v>0</v>
      </c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"/>
      <c r="S99" s="1"/>
    </row>
    <row r="100" spans="1:19" ht="12.75" customHeight="1" x14ac:dyDescent="0.2">
      <c r="A100" s="413"/>
      <c r="B100" s="413"/>
      <c r="C100" s="413"/>
      <c r="D100" s="19" t="s">
        <v>38</v>
      </c>
      <c r="E100" s="18">
        <f>SUM(F100:Q100)</f>
        <v>780</v>
      </c>
      <c r="F100" s="17">
        <v>780</v>
      </c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"/>
      <c r="S100" s="1"/>
    </row>
    <row r="101" spans="1:19" ht="12.75" customHeight="1" x14ac:dyDescent="0.2">
      <c r="A101" s="413" t="s">
        <v>17</v>
      </c>
      <c r="B101" s="413" t="s">
        <v>55</v>
      </c>
      <c r="C101" s="413" t="s">
        <v>50</v>
      </c>
      <c r="D101" s="21" t="s">
        <v>34</v>
      </c>
      <c r="E101" s="20">
        <f t="shared" ref="E101:Q101" si="10">E102+E103+E104+E105+E106</f>
        <v>38318.790160000004</v>
      </c>
      <c r="F101" s="20">
        <f t="shared" si="10"/>
        <v>38318.790160000004</v>
      </c>
      <c r="G101" s="20">
        <f t="shared" si="10"/>
        <v>0</v>
      </c>
      <c r="H101" s="20">
        <f t="shared" si="10"/>
        <v>0</v>
      </c>
      <c r="I101" s="20">
        <f t="shared" si="10"/>
        <v>0</v>
      </c>
      <c r="J101" s="20">
        <f t="shared" si="10"/>
        <v>0</v>
      </c>
      <c r="K101" s="20">
        <f t="shared" si="10"/>
        <v>0</v>
      </c>
      <c r="L101" s="20">
        <f t="shared" si="10"/>
        <v>0</v>
      </c>
      <c r="M101" s="20">
        <f t="shared" si="10"/>
        <v>0</v>
      </c>
      <c r="N101" s="20">
        <f t="shared" si="10"/>
        <v>0</v>
      </c>
      <c r="O101" s="20">
        <f t="shared" si="10"/>
        <v>0</v>
      </c>
      <c r="P101" s="20">
        <f t="shared" si="10"/>
        <v>0</v>
      </c>
      <c r="Q101" s="20">
        <f t="shared" si="10"/>
        <v>0</v>
      </c>
      <c r="R101" s="1"/>
      <c r="S101" s="1"/>
    </row>
    <row r="102" spans="1:19" ht="12.75" customHeight="1" x14ac:dyDescent="0.2">
      <c r="A102" s="413"/>
      <c r="B102" s="413"/>
      <c r="C102" s="413"/>
      <c r="D102" s="19" t="s">
        <v>6</v>
      </c>
      <c r="E102" s="18">
        <f>SUM(F102:Q102)</f>
        <v>0</v>
      </c>
      <c r="F102" s="18">
        <v>0</v>
      </c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"/>
      <c r="S102" s="1"/>
    </row>
    <row r="103" spans="1:19" ht="12.75" customHeight="1" x14ac:dyDescent="0.2">
      <c r="A103" s="413"/>
      <c r="B103" s="413"/>
      <c r="C103" s="413"/>
      <c r="D103" s="19" t="s">
        <v>7</v>
      </c>
      <c r="E103" s="18">
        <f>SUM(F103:Q103)</f>
        <v>463.32799999999997</v>
      </c>
      <c r="F103" s="18">
        <v>463.32799999999997</v>
      </c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"/>
      <c r="S103" s="1"/>
    </row>
    <row r="104" spans="1:19" ht="12.75" customHeight="1" x14ac:dyDescent="0.2">
      <c r="A104" s="413"/>
      <c r="B104" s="413"/>
      <c r="C104" s="413"/>
      <c r="D104" s="19" t="s">
        <v>8</v>
      </c>
      <c r="E104" s="18">
        <f>SUM(F104:Q104)</f>
        <v>24204.391</v>
      </c>
      <c r="F104" s="18">
        <v>24204.391</v>
      </c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"/>
      <c r="S104" s="1"/>
    </row>
    <row r="105" spans="1:19" ht="22.5" x14ac:dyDescent="0.2">
      <c r="A105" s="413"/>
      <c r="B105" s="413"/>
      <c r="C105" s="413"/>
      <c r="D105" s="19" t="s">
        <v>9</v>
      </c>
      <c r="E105" s="18">
        <f>SUM(F105:Q105)</f>
        <v>0</v>
      </c>
      <c r="F105" s="18">
        <v>0</v>
      </c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"/>
      <c r="S105" s="1"/>
    </row>
    <row r="106" spans="1:19" ht="12.75" customHeight="1" x14ac:dyDescent="0.2">
      <c r="A106" s="413"/>
      <c r="B106" s="413"/>
      <c r="C106" s="413"/>
      <c r="D106" s="19" t="s">
        <v>38</v>
      </c>
      <c r="E106" s="18">
        <f>SUM(F106:Q106)</f>
        <v>13651.07116</v>
      </c>
      <c r="F106" s="18">
        <v>13651.07116</v>
      </c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"/>
      <c r="S106" s="1"/>
    </row>
    <row r="107" spans="1:19" ht="12.75" customHeight="1" x14ac:dyDescent="0.2">
      <c r="A107" s="413" t="s">
        <v>54</v>
      </c>
      <c r="B107" s="413" t="s">
        <v>53</v>
      </c>
      <c r="C107" s="413" t="s">
        <v>50</v>
      </c>
      <c r="D107" s="21" t="s">
        <v>34</v>
      </c>
      <c r="E107" s="20">
        <f t="shared" ref="E107:Q107" si="11">E108+E109+E110+E111+E112</f>
        <v>627</v>
      </c>
      <c r="F107" s="20">
        <f t="shared" si="11"/>
        <v>627</v>
      </c>
      <c r="G107" s="20">
        <f t="shared" si="11"/>
        <v>0</v>
      </c>
      <c r="H107" s="20">
        <f t="shared" si="11"/>
        <v>0</v>
      </c>
      <c r="I107" s="20">
        <f t="shared" si="11"/>
        <v>0</v>
      </c>
      <c r="J107" s="20">
        <f t="shared" si="11"/>
        <v>0</v>
      </c>
      <c r="K107" s="20">
        <f t="shared" si="11"/>
        <v>0</v>
      </c>
      <c r="L107" s="20">
        <f t="shared" si="11"/>
        <v>0</v>
      </c>
      <c r="M107" s="20">
        <f t="shared" si="11"/>
        <v>0</v>
      </c>
      <c r="N107" s="20">
        <f t="shared" si="11"/>
        <v>0</v>
      </c>
      <c r="O107" s="20">
        <f t="shared" si="11"/>
        <v>0</v>
      </c>
      <c r="P107" s="20">
        <f t="shared" si="11"/>
        <v>0</v>
      </c>
      <c r="Q107" s="20">
        <f t="shared" si="11"/>
        <v>0</v>
      </c>
      <c r="R107" s="1"/>
      <c r="S107" s="1"/>
    </row>
    <row r="108" spans="1:19" ht="12.75" customHeight="1" x14ac:dyDescent="0.2">
      <c r="A108" s="413"/>
      <c r="B108" s="413"/>
      <c r="C108" s="413"/>
      <c r="D108" s="19" t="s">
        <v>6</v>
      </c>
      <c r="E108" s="18">
        <f>SUM(F108:Q108)</f>
        <v>0</v>
      </c>
      <c r="F108" s="17">
        <v>0</v>
      </c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"/>
      <c r="S108" s="1"/>
    </row>
    <row r="109" spans="1:19" ht="12.75" customHeight="1" x14ac:dyDescent="0.2">
      <c r="A109" s="413"/>
      <c r="B109" s="413"/>
      <c r="C109" s="413"/>
      <c r="D109" s="19" t="s">
        <v>7</v>
      </c>
      <c r="E109" s="18">
        <f>SUM(F109:Q109)</f>
        <v>0</v>
      </c>
      <c r="F109" s="17">
        <v>0</v>
      </c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"/>
      <c r="S109" s="1"/>
    </row>
    <row r="110" spans="1:19" ht="12.75" customHeight="1" x14ac:dyDescent="0.2">
      <c r="A110" s="413"/>
      <c r="B110" s="413"/>
      <c r="C110" s="413"/>
      <c r="D110" s="19" t="s">
        <v>8</v>
      </c>
      <c r="E110" s="18">
        <f>SUM(F110:Q110)</f>
        <v>0</v>
      </c>
      <c r="F110" s="17">
        <v>0</v>
      </c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"/>
      <c r="S110" s="1"/>
    </row>
    <row r="111" spans="1:19" ht="22.5" x14ac:dyDescent="0.2">
      <c r="A111" s="413"/>
      <c r="B111" s="413"/>
      <c r="C111" s="413"/>
      <c r="D111" s="19" t="s">
        <v>9</v>
      </c>
      <c r="E111" s="18">
        <f>SUM(F111:Q111)</f>
        <v>0</v>
      </c>
      <c r="F111" s="17">
        <v>0</v>
      </c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"/>
      <c r="S111" s="1"/>
    </row>
    <row r="112" spans="1:19" ht="12.75" customHeight="1" x14ac:dyDescent="0.2">
      <c r="A112" s="413"/>
      <c r="B112" s="413"/>
      <c r="C112" s="413"/>
      <c r="D112" s="19" t="s">
        <v>38</v>
      </c>
      <c r="E112" s="18">
        <f>SUM(F112:Q112)</f>
        <v>627</v>
      </c>
      <c r="F112" s="17">
        <v>627</v>
      </c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"/>
      <c r="S112" s="1"/>
    </row>
    <row r="113" spans="1:19" ht="12.75" customHeight="1" x14ac:dyDescent="0.2">
      <c r="A113" s="28"/>
      <c r="B113" s="408" t="s">
        <v>84</v>
      </c>
      <c r="C113" s="413" t="s">
        <v>83</v>
      </c>
      <c r="D113" s="21" t="s">
        <v>34</v>
      </c>
      <c r="E113" s="20">
        <f>E114+E115+E116+E117+E118</f>
        <v>627</v>
      </c>
      <c r="F113" s="20">
        <f>F114+F115+F116+F117+F118</f>
        <v>627</v>
      </c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"/>
      <c r="S113" s="1"/>
    </row>
    <row r="114" spans="1:19" ht="12.75" customHeight="1" x14ac:dyDescent="0.2">
      <c r="A114" s="28"/>
      <c r="B114" s="409"/>
      <c r="C114" s="413"/>
      <c r="D114" s="19" t="s">
        <v>6</v>
      </c>
      <c r="E114" s="18">
        <f>SUM(F114:Q114)</f>
        <v>0</v>
      </c>
      <c r="F114" s="17">
        <v>0</v>
      </c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"/>
      <c r="S114" s="1"/>
    </row>
    <row r="115" spans="1:19" ht="12.75" customHeight="1" x14ac:dyDescent="0.2">
      <c r="A115" s="28"/>
      <c r="B115" s="409"/>
      <c r="C115" s="413"/>
      <c r="D115" s="19" t="s">
        <v>7</v>
      </c>
      <c r="E115" s="18">
        <f>SUM(F115:Q115)</f>
        <v>0</v>
      </c>
      <c r="F115" s="17">
        <v>0</v>
      </c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"/>
      <c r="S115" s="1"/>
    </row>
    <row r="116" spans="1:19" ht="12.75" customHeight="1" x14ac:dyDescent="0.2">
      <c r="A116" s="28"/>
      <c r="B116" s="409"/>
      <c r="C116" s="413"/>
      <c r="D116" s="19" t="s">
        <v>8</v>
      </c>
      <c r="E116" s="18">
        <f>SUM(F116:Q116)</f>
        <v>0</v>
      </c>
      <c r="F116" s="17">
        <v>0</v>
      </c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"/>
      <c r="S116" s="1"/>
    </row>
    <row r="117" spans="1:19" ht="12.75" customHeight="1" x14ac:dyDescent="0.2">
      <c r="A117" s="28"/>
      <c r="B117" s="409"/>
      <c r="C117" s="413"/>
      <c r="D117" s="19" t="s">
        <v>9</v>
      </c>
      <c r="E117" s="18">
        <f>SUM(F117:Q117)</f>
        <v>0</v>
      </c>
      <c r="F117" s="17">
        <v>0</v>
      </c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"/>
      <c r="S117" s="1"/>
    </row>
    <row r="118" spans="1:19" ht="12.75" customHeight="1" x14ac:dyDescent="0.2">
      <c r="A118" s="35"/>
      <c r="B118" s="410"/>
      <c r="C118" s="413"/>
      <c r="D118" s="19" t="s">
        <v>38</v>
      </c>
      <c r="E118" s="18">
        <f>SUM(F118:Q118)</f>
        <v>627</v>
      </c>
      <c r="F118" s="17">
        <v>627</v>
      </c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"/>
      <c r="S118" s="1"/>
    </row>
    <row r="119" spans="1:19" s="25" customFormat="1" ht="12.75" customHeight="1" x14ac:dyDescent="0.2">
      <c r="A119" s="411" t="s">
        <v>27</v>
      </c>
      <c r="B119" s="409" t="s">
        <v>52</v>
      </c>
      <c r="C119" s="413" t="s">
        <v>50</v>
      </c>
      <c r="D119" s="21" t="s">
        <v>34</v>
      </c>
      <c r="E119" s="20">
        <f t="shared" ref="E119:Q119" si="12">E120+E121+E122+E123+E124</f>
        <v>8940</v>
      </c>
      <c r="F119" s="20">
        <f t="shared" si="12"/>
        <v>8940</v>
      </c>
      <c r="G119" s="20">
        <f t="shared" si="12"/>
        <v>0</v>
      </c>
      <c r="H119" s="20">
        <f t="shared" si="12"/>
        <v>0</v>
      </c>
      <c r="I119" s="20">
        <f t="shared" si="12"/>
        <v>0</v>
      </c>
      <c r="J119" s="20">
        <f t="shared" si="12"/>
        <v>0</v>
      </c>
      <c r="K119" s="20">
        <f t="shared" si="12"/>
        <v>0</v>
      </c>
      <c r="L119" s="20">
        <f t="shared" si="12"/>
        <v>0</v>
      </c>
      <c r="M119" s="20">
        <f t="shared" si="12"/>
        <v>0</v>
      </c>
      <c r="N119" s="20">
        <f t="shared" si="12"/>
        <v>0</v>
      </c>
      <c r="O119" s="20">
        <f t="shared" si="12"/>
        <v>0</v>
      </c>
      <c r="P119" s="20">
        <f t="shared" si="12"/>
        <v>0</v>
      </c>
      <c r="Q119" s="20">
        <f t="shared" si="12"/>
        <v>0</v>
      </c>
      <c r="R119" s="26"/>
      <c r="S119" s="26"/>
    </row>
    <row r="120" spans="1:19" ht="12.75" customHeight="1" x14ac:dyDescent="0.2">
      <c r="A120" s="411"/>
      <c r="B120" s="409"/>
      <c r="C120" s="413"/>
      <c r="D120" s="19" t="s">
        <v>6</v>
      </c>
      <c r="E120" s="18">
        <f>SUM(F120:Q120)</f>
        <v>0</v>
      </c>
      <c r="F120" s="17">
        <v>0</v>
      </c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1:19" ht="12.75" customHeight="1" x14ac:dyDescent="0.2">
      <c r="A121" s="411"/>
      <c r="B121" s="409"/>
      <c r="C121" s="413"/>
      <c r="D121" s="19" t="s">
        <v>7</v>
      </c>
      <c r="E121" s="18">
        <f>SUM(F121:Q121)</f>
        <v>0</v>
      </c>
      <c r="F121" s="17">
        <v>0</v>
      </c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</row>
    <row r="122" spans="1:19" ht="12.75" customHeight="1" x14ac:dyDescent="0.2">
      <c r="A122" s="411"/>
      <c r="B122" s="409"/>
      <c r="C122" s="413"/>
      <c r="D122" s="19" t="s">
        <v>8</v>
      </c>
      <c r="E122" s="18">
        <f>SUM(F122:Q122)</f>
        <v>0</v>
      </c>
      <c r="F122" s="17">
        <v>0</v>
      </c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</row>
    <row r="123" spans="1:19" ht="22.5" x14ac:dyDescent="0.2">
      <c r="A123" s="411"/>
      <c r="B123" s="409"/>
      <c r="C123" s="413"/>
      <c r="D123" s="19" t="s">
        <v>9</v>
      </c>
      <c r="E123" s="18">
        <f>SUM(F123:Q123)</f>
        <v>0</v>
      </c>
      <c r="F123" s="17">
        <v>0</v>
      </c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1:19" ht="12.75" customHeight="1" x14ac:dyDescent="0.2">
      <c r="A124" s="411"/>
      <c r="B124" s="409"/>
      <c r="C124" s="413"/>
      <c r="D124" s="19" t="s">
        <v>38</v>
      </c>
      <c r="E124" s="18">
        <f>SUM(F124:Q124)</f>
        <v>8940</v>
      </c>
      <c r="F124" s="17">
        <f>8240+700</f>
        <v>8940</v>
      </c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1:19" ht="12.75" customHeight="1" x14ac:dyDescent="0.2">
      <c r="A125" s="24"/>
      <c r="B125" s="408" t="s">
        <v>51</v>
      </c>
      <c r="C125" s="413" t="s">
        <v>50</v>
      </c>
      <c r="D125" s="21" t="s">
        <v>34</v>
      </c>
      <c r="E125" s="20">
        <f>E126+E127+E128+E129+E130</f>
        <v>8940</v>
      </c>
      <c r="F125" s="20">
        <f>F126+F127+F128+F129+F130</f>
        <v>8940</v>
      </c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1:19" ht="12.75" customHeight="1" x14ac:dyDescent="0.2">
      <c r="A126" s="23"/>
      <c r="B126" s="409"/>
      <c r="C126" s="413"/>
      <c r="D126" s="19" t="s">
        <v>6</v>
      </c>
      <c r="E126" s="18">
        <f>SUM(F126:Q126)</f>
        <v>0</v>
      </c>
      <c r="F126" s="17">
        <v>0</v>
      </c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</row>
    <row r="127" spans="1:19" ht="12.75" customHeight="1" x14ac:dyDescent="0.2">
      <c r="A127" s="23"/>
      <c r="B127" s="409"/>
      <c r="C127" s="413"/>
      <c r="D127" s="19" t="s">
        <v>7</v>
      </c>
      <c r="E127" s="18">
        <f>SUM(F127:Q127)</f>
        <v>0</v>
      </c>
      <c r="F127" s="17">
        <v>0</v>
      </c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1:19" ht="12.75" customHeight="1" x14ac:dyDescent="0.2">
      <c r="A128" s="23"/>
      <c r="B128" s="409"/>
      <c r="C128" s="413"/>
      <c r="D128" s="19" t="s">
        <v>8</v>
      </c>
      <c r="E128" s="18">
        <f>SUM(F128:Q128)</f>
        <v>0</v>
      </c>
      <c r="F128" s="17">
        <v>0</v>
      </c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</row>
    <row r="129" spans="1:19" ht="12.75" customHeight="1" x14ac:dyDescent="0.2">
      <c r="A129" s="23"/>
      <c r="B129" s="409"/>
      <c r="C129" s="413"/>
      <c r="D129" s="19" t="s">
        <v>9</v>
      </c>
      <c r="E129" s="18">
        <f>SUM(F129:Q129)</f>
        <v>0</v>
      </c>
      <c r="F129" s="17">
        <v>0</v>
      </c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</row>
    <row r="130" spans="1:19" ht="12.75" customHeight="1" x14ac:dyDescent="0.2">
      <c r="A130" s="23"/>
      <c r="B130" s="410"/>
      <c r="C130" s="413"/>
      <c r="D130" s="22" t="s">
        <v>38</v>
      </c>
      <c r="E130" s="18">
        <f>SUM(F130:Q130)</f>
        <v>8940</v>
      </c>
      <c r="F130" s="17">
        <f>8240+700</f>
        <v>8940</v>
      </c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</row>
    <row r="131" spans="1:19" ht="12.75" customHeight="1" x14ac:dyDescent="0.2">
      <c r="A131" s="414" t="s">
        <v>49</v>
      </c>
      <c r="B131" s="414"/>
      <c r="C131" s="415"/>
      <c r="D131" s="16" t="s">
        <v>34</v>
      </c>
      <c r="E131" s="15">
        <f t="shared" ref="E131:Q131" si="13">E132+E133+E134+E135+E136</f>
        <v>51345.490160000001</v>
      </c>
      <c r="F131" s="15">
        <f t="shared" si="13"/>
        <v>51345.490160000001</v>
      </c>
      <c r="G131" s="15">
        <f t="shared" si="13"/>
        <v>0</v>
      </c>
      <c r="H131" s="15">
        <f t="shared" si="13"/>
        <v>0</v>
      </c>
      <c r="I131" s="15">
        <f t="shared" si="13"/>
        <v>0</v>
      </c>
      <c r="J131" s="15">
        <f t="shared" si="13"/>
        <v>0</v>
      </c>
      <c r="K131" s="15">
        <f t="shared" si="13"/>
        <v>0</v>
      </c>
      <c r="L131" s="15">
        <f t="shared" si="13"/>
        <v>0</v>
      </c>
      <c r="M131" s="15">
        <f t="shared" si="13"/>
        <v>0</v>
      </c>
      <c r="N131" s="15">
        <f t="shared" si="13"/>
        <v>0</v>
      </c>
      <c r="O131" s="15">
        <f t="shared" si="13"/>
        <v>0</v>
      </c>
      <c r="P131" s="15">
        <f t="shared" si="13"/>
        <v>0</v>
      </c>
      <c r="Q131" s="15">
        <f t="shared" si="13"/>
        <v>0</v>
      </c>
    </row>
    <row r="132" spans="1:19" ht="12.75" customHeight="1" x14ac:dyDescent="0.2">
      <c r="A132" s="414"/>
      <c r="B132" s="414"/>
      <c r="C132" s="416"/>
      <c r="D132" s="14" t="s">
        <v>6</v>
      </c>
      <c r="E132" s="13">
        <f>SUM(F132:Q132)</f>
        <v>0</v>
      </c>
      <c r="F132" s="13">
        <f t="shared" ref="F132:Q132" si="14">F90+F96+F102+F108+F120</f>
        <v>0</v>
      </c>
      <c r="G132" s="13">
        <f t="shared" si="14"/>
        <v>0</v>
      </c>
      <c r="H132" s="13">
        <f t="shared" si="14"/>
        <v>0</v>
      </c>
      <c r="I132" s="13">
        <f t="shared" si="14"/>
        <v>0</v>
      </c>
      <c r="J132" s="13">
        <f t="shared" si="14"/>
        <v>0</v>
      </c>
      <c r="K132" s="13">
        <f t="shared" si="14"/>
        <v>0</v>
      </c>
      <c r="L132" s="13">
        <f t="shared" si="14"/>
        <v>0</v>
      </c>
      <c r="M132" s="13">
        <f t="shared" si="14"/>
        <v>0</v>
      </c>
      <c r="N132" s="13">
        <f t="shared" si="14"/>
        <v>0</v>
      </c>
      <c r="O132" s="13">
        <f t="shared" si="14"/>
        <v>0</v>
      </c>
      <c r="P132" s="13">
        <f t="shared" si="14"/>
        <v>0</v>
      </c>
      <c r="Q132" s="13">
        <f t="shared" si="14"/>
        <v>0</v>
      </c>
    </row>
    <row r="133" spans="1:19" ht="12.75" customHeight="1" x14ac:dyDescent="0.2">
      <c r="A133" s="414"/>
      <c r="B133" s="414"/>
      <c r="C133" s="416"/>
      <c r="D133" s="14" t="s">
        <v>7</v>
      </c>
      <c r="E133" s="13">
        <f>SUM(F133:Q133)</f>
        <v>463.32799999999997</v>
      </c>
      <c r="F133" s="13">
        <f t="shared" ref="F133:Q133" si="15">F91+F97+F103+F109+F121</f>
        <v>463.32799999999997</v>
      </c>
      <c r="G133" s="13">
        <f t="shared" si="15"/>
        <v>0</v>
      </c>
      <c r="H133" s="13">
        <f t="shared" si="15"/>
        <v>0</v>
      </c>
      <c r="I133" s="13">
        <f t="shared" si="15"/>
        <v>0</v>
      </c>
      <c r="J133" s="13">
        <f t="shared" si="15"/>
        <v>0</v>
      </c>
      <c r="K133" s="13">
        <f t="shared" si="15"/>
        <v>0</v>
      </c>
      <c r="L133" s="13">
        <f t="shared" si="15"/>
        <v>0</v>
      </c>
      <c r="M133" s="13">
        <f t="shared" si="15"/>
        <v>0</v>
      </c>
      <c r="N133" s="13">
        <f t="shared" si="15"/>
        <v>0</v>
      </c>
      <c r="O133" s="13">
        <f t="shared" si="15"/>
        <v>0</v>
      </c>
      <c r="P133" s="13">
        <f t="shared" si="15"/>
        <v>0</v>
      </c>
      <c r="Q133" s="13">
        <f t="shared" si="15"/>
        <v>0</v>
      </c>
    </row>
    <row r="134" spans="1:19" ht="12.75" customHeight="1" x14ac:dyDescent="0.2">
      <c r="A134" s="414"/>
      <c r="B134" s="414"/>
      <c r="C134" s="416"/>
      <c r="D134" s="14" t="s">
        <v>8</v>
      </c>
      <c r="E134" s="13">
        <f>SUM(F134:Q134)</f>
        <v>25233.432829999998</v>
      </c>
      <c r="F134" s="13">
        <f t="shared" ref="F134:Q134" si="16">F92+F98+F104+F110+F122</f>
        <v>25233.432829999998</v>
      </c>
      <c r="G134" s="13">
        <f t="shared" si="16"/>
        <v>0</v>
      </c>
      <c r="H134" s="13">
        <f t="shared" si="16"/>
        <v>0</v>
      </c>
      <c r="I134" s="13">
        <f t="shared" si="16"/>
        <v>0</v>
      </c>
      <c r="J134" s="13">
        <f t="shared" si="16"/>
        <v>0</v>
      </c>
      <c r="K134" s="13">
        <f t="shared" si="16"/>
        <v>0</v>
      </c>
      <c r="L134" s="13">
        <f t="shared" si="16"/>
        <v>0</v>
      </c>
      <c r="M134" s="13">
        <f t="shared" si="16"/>
        <v>0</v>
      </c>
      <c r="N134" s="13">
        <f t="shared" si="16"/>
        <v>0</v>
      </c>
      <c r="O134" s="13">
        <f t="shared" si="16"/>
        <v>0</v>
      </c>
      <c r="P134" s="13">
        <f t="shared" si="16"/>
        <v>0</v>
      </c>
      <c r="Q134" s="13">
        <f t="shared" si="16"/>
        <v>0</v>
      </c>
    </row>
    <row r="135" spans="1:19" ht="22.5" x14ac:dyDescent="0.2">
      <c r="A135" s="414"/>
      <c r="B135" s="414"/>
      <c r="C135" s="416"/>
      <c r="D135" s="14" t="s">
        <v>9</v>
      </c>
      <c r="E135" s="13">
        <f>SUM(F135:Q135)</f>
        <v>0</v>
      </c>
      <c r="F135" s="13">
        <f t="shared" ref="F135:Q135" si="17">F93+F99+F105+F111+F123</f>
        <v>0</v>
      </c>
      <c r="G135" s="13">
        <f t="shared" si="17"/>
        <v>0</v>
      </c>
      <c r="H135" s="13">
        <f t="shared" si="17"/>
        <v>0</v>
      </c>
      <c r="I135" s="13">
        <f t="shared" si="17"/>
        <v>0</v>
      </c>
      <c r="J135" s="13">
        <f t="shared" si="17"/>
        <v>0</v>
      </c>
      <c r="K135" s="13">
        <f t="shared" si="17"/>
        <v>0</v>
      </c>
      <c r="L135" s="13">
        <f t="shared" si="17"/>
        <v>0</v>
      </c>
      <c r="M135" s="13">
        <f t="shared" si="17"/>
        <v>0</v>
      </c>
      <c r="N135" s="13">
        <f t="shared" si="17"/>
        <v>0</v>
      </c>
      <c r="O135" s="13">
        <f t="shared" si="17"/>
        <v>0</v>
      </c>
      <c r="P135" s="13">
        <f t="shared" si="17"/>
        <v>0</v>
      </c>
      <c r="Q135" s="13">
        <f t="shared" si="17"/>
        <v>0</v>
      </c>
    </row>
    <row r="136" spans="1:19" ht="12.75" customHeight="1" x14ac:dyDescent="0.2">
      <c r="A136" s="414"/>
      <c r="B136" s="414"/>
      <c r="C136" s="417"/>
      <c r="D136" s="14" t="s">
        <v>38</v>
      </c>
      <c r="E136" s="13">
        <f>SUM(F136:Q136)</f>
        <v>25648.729329999998</v>
      </c>
      <c r="F136" s="13">
        <f t="shared" ref="F136:Q136" si="18">F94+F100+F106+F112+F124</f>
        <v>25648.729329999998</v>
      </c>
      <c r="G136" s="13">
        <f t="shared" si="18"/>
        <v>0</v>
      </c>
      <c r="H136" s="13">
        <f t="shared" si="18"/>
        <v>0</v>
      </c>
      <c r="I136" s="13">
        <f t="shared" si="18"/>
        <v>0</v>
      </c>
      <c r="J136" s="13">
        <f t="shared" si="18"/>
        <v>0</v>
      </c>
      <c r="K136" s="13">
        <f t="shared" si="18"/>
        <v>0</v>
      </c>
      <c r="L136" s="13">
        <f t="shared" si="18"/>
        <v>0</v>
      </c>
      <c r="M136" s="13">
        <f t="shared" si="18"/>
        <v>0</v>
      </c>
      <c r="N136" s="13">
        <f t="shared" si="18"/>
        <v>0</v>
      </c>
      <c r="O136" s="13">
        <f t="shared" si="18"/>
        <v>0</v>
      </c>
      <c r="P136" s="13">
        <f t="shared" si="18"/>
        <v>0</v>
      </c>
      <c r="Q136" s="13">
        <f t="shared" si="18"/>
        <v>0</v>
      </c>
    </row>
    <row r="137" spans="1:19" ht="15.75" customHeight="1" x14ac:dyDescent="0.2">
      <c r="A137" s="425" t="s">
        <v>28</v>
      </c>
      <c r="B137" s="426"/>
      <c r="C137" s="426"/>
      <c r="D137" s="426"/>
      <c r="E137" s="426"/>
      <c r="F137" s="426"/>
      <c r="G137" s="426"/>
      <c r="H137" s="426"/>
      <c r="I137" s="426"/>
      <c r="J137" s="426"/>
      <c r="K137" s="426"/>
      <c r="L137" s="426"/>
      <c r="M137" s="426"/>
      <c r="N137" s="426"/>
      <c r="O137" s="426"/>
      <c r="P137" s="426"/>
      <c r="Q137" s="426"/>
    </row>
    <row r="138" spans="1:19" ht="12.75" customHeight="1" x14ac:dyDescent="0.2">
      <c r="A138" s="413" t="s">
        <v>48</v>
      </c>
      <c r="B138" s="413" t="s">
        <v>47</v>
      </c>
      <c r="C138" s="413" t="s">
        <v>16</v>
      </c>
      <c r="D138" s="21" t="s">
        <v>34</v>
      </c>
      <c r="E138" s="20">
        <f t="shared" ref="E138:Q138" si="19">E139+E140+E141+E142+E143</f>
        <v>35.1</v>
      </c>
      <c r="F138" s="20">
        <f t="shared" si="19"/>
        <v>35.1</v>
      </c>
      <c r="G138" s="20">
        <f t="shared" si="19"/>
        <v>0</v>
      </c>
      <c r="H138" s="20">
        <f t="shared" si="19"/>
        <v>0</v>
      </c>
      <c r="I138" s="20">
        <f t="shared" si="19"/>
        <v>0</v>
      </c>
      <c r="J138" s="20">
        <f t="shared" si="19"/>
        <v>0</v>
      </c>
      <c r="K138" s="20">
        <f t="shared" si="19"/>
        <v>0</v>
      </c>
      <c r="L138" s="20">
        <f t="shared" si="19"/>
        <v>0</v>
      </c>
      <c r="M138" s="20">
        <f t="shared" si="19"/>
        <v>0</v>
      </c>
      <c r="N138" s="20">
        <f t="shared" si="19"/>
        <v>0</v>
      </c>
      <c r="O138" s="20">
        <f t="shared" si="19"/>
        <v>0</v>
      </c>
      <c r="P138" s="20">
        <f t="shared" si="19"/>
        <v>0</v>
      </c>
      <c r="Q138" s="20">
        <f t="shared" si="19"/>
        <v>0</v>
      </c>
    </row>
    <row r="139" spans="1:19" ht="12.75" customHeight="1" x14ac:dyDescent="0.2">
      <c r="A139" s="413"/>
      <c r="B139" s="413"/>
      <c r="C139" s="413"/>
      <c r="D139" s="19" t="s">
        <v>6</v>
      </c>
      <c r="E139" s="18">
        <f>SUM(F139:Q139)</f>
        <v>0</v>
      </c>
      <c r="F139" s="18">
        <v>0</v>
      </c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</row>
    <row r="140" spans="1:19" ht="12.75" customHeight="1" x14ac:dyDescent="0.2">
      <c r="A140" s="413"/>
      <c r="B140" s="413"/>
      <c r="C140" s="413"/>
      <c r="D140" s="19" t="s">
        <v>7</v>
      </c>
      <c r="E140" s="18">
        <f>SUM(F140:Q140)</f>
        <v>0</v>
      </c>
      <c r="F140" s="18">
        <v>0</v>
      </c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</row>
    <row r="141" spans="1:19" ht="12.75" customHeight="1" x14ac:dyDescent="0.2">
      <c r="A141" s="413"/>
      <c r="B141" s="413"/>
      <c r="C141" s="413"/>
      <c r="D141" s="19" t="s">
        <v>8</v>
      </c>
      <c r="E141" s="18">
        <f>SUM(F141:Q141)</f>
        <v>0</v>
      </c>
      <c r="F141" s="18">
        <v>0</v>
      </c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</row>
    <row r="142" spans="1:19" ht="22.5" x14ac:dyDescent="0.2">
      <c r="A142" s="413"/>
      <c r="B142" s="413"/>
      <c r="C142" s="413"/>
      <c r="D142" s="19" t="s">
        <v>9</v>
      </c>
      <c r="E142" s="18">
        <f>SUM(F142:Q142)</f>
        <v>0</v>
      </c>
      <c r="F142" s="18">
        <v>0</v>
      </c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</row>
    <row r="143" spans="1:19" ht="12.75" customHeight="1" x14ac:dyDescent="0.2">
      <c r="A143" s="413"/>
      <c r="B143" s="413"/>
      <c r="C143" s="413"/>
      <c r="D143" s="19" t="s">
        <v>38</v>
      </c>
      <c r="E143" s="18">
        <f>SUM(F143:Q143)</f>
        <v>35.1</v>
      </c>
      <c r="F143" s="18">
        <v>35.1</v>
      </c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</row>
    <row r="144" spans="1:19" ht="12.75" customHeight="1" x14ac:dyDescent="0.2">
      <c r="A144" s="413" t="s">
        <v>46</v>
      </c>
      <c r="B144" s="413" t="s">
        <v>45</v>
      </c>
      <c r="C144" s="413" t="s">
        <v>16</v>
      </c>
      <c r="D144" s="21" t="s">
        <v>34</v>
      </c>
      <c r="E144" s="20">
        <f t="shared" ref="E144:Q144" si="20">E145+E146+E147+E148+E149</f>
        <v>150</v>
      </c>
      <c r="F144" s="20">
        <f t="shared" si="20"/>
        <v>150</v>
      </c>
      <c r="G144" s="20">
        <f t="shared" si="20"/>
        <v>0</v>
      </c>
      <c r="H144" s="20">
        <f t="shared" si="20"/>
        <v>0</v>
      </c>
      <c r="I144" s="20">
        <f t="shared" si="20"/>
        <v>0</v>
      </c>
      <c r="J144" s="20">
        <f t="shared" si="20"/>
        <v>0</v>
      </c>
      <c r="K144" s="20">
        <f t="shared" si="20"/>
        <v>0</v>
      </c>
      <c r="L144" s="20">
        <f t="shared" si="20"/>
        <v>0</v>
      </c>
      <c r="M144" s="20">
        <f t="shared" si="20"/>
        <v>0</v>
      </c>
      <c r="N144" s="20">
        <f t="shared" si="20"/>
        <v>0</v>
      </c>
      <c r="O144" s="20">
        <f t="shared" si="20"/>
        <v>0</v>
      </c>
      <c r="P144" s="20">
        <f t="shared" si="20"/>
        <v>0</v>
      </c>
      <c r="Q144" s="20">
        <f t="shared" si="20"/>
        <v>0</v>
      </c>
      <c r="R144" s="1"/>
      <c r="S144" s="1"/>
    </row>
    <row r="145" spans="1:19" ht="12.75" customHeight="1" x14ac:dyDescent="0.2">
      <c r="A145" s="413"/>
      <c r="B145" s="413"/>
      <c r="C145" s="413"/>
      <c r="D145" s="19" t="s">
        <v>6</v>
      </c>
      <c r="E145" s="18">
        <f>SUM(F145:Q145)</f>
        <v>0</v>
      </c>
      <c r="F145" s="17">
        <v>0</v>
      </c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"/>
      <c r="S145" s="1"/>
    </row>
    <row r="146" spans="1:19" ht="12.75" customHeight="1" x14ac:dyDescent="0.2">
      <c r="A146" s="413"/>
      <c r="B146" s="413"/>
      <c r="C146" s="413"/>
      <c r="D146" s="19" t="s">
        <v>7</v>
      </c>
      <c r="E146" s="18">
        <f>SUM(F146:Q146)</f>
        <v>0</v>
      </c>
      <c r="F146" s="17">
        <v>0</v>
      </c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"/>
      <c r="S146" s="1"/>
    </row>
    <row r="147" spans="1:19" ht="12.75" customHeight="1" x14ac:dyDescent="0.2">
      <c r="A147" s="413"/>
      <c r="B147" s="413"/>
      <c r="C147" s="413"/>
      <c r="D147" s="19" t="s">
        <v>8</v>
      </c>
      <c r="E147" s="18">
        <f>SUM(F147:Q147)</f>
        <v>150</v>
      </c>
      <c r="F147" s="17">
        <v>150</v>
      </c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"/>
      <c r="S147" s="1"/>
    </row>
    <row r="148" spans="1:19" ht="22.5" x14ac:dyDescent="0.2">
      <c r="A148" s="413"/>
      <c r="B148" s="413"/>
      <c r="C148" s="413"/>
      <c r="D148" s="19" t="s">
        <v>9</v>
      </c>
      <c r="E148" s="18">
        <f>SUM(F148:Q148)</f>
        <v>0</v>
      </c>
      <c r="F148" s="17">
        <v>0</v>
      </c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"/>
      <c r="S148" s="1"/>
    </row>
    <row r="149" spans="1:19" ht="12.75" customHeight="1" x14ac:dyDescent="0.2">
      <c r="A149" s="413"/>
      <c r="B149" s="413"/>
      <c r="C149" s="413"/>
      <c r="D149" s="19" t="s">
        <v>38</v>
      </c>
      <c r="E149" s="18">
        <f>SUM(F149:Q149)</f>
        <v>0</v>
      </c>
      <c r="F149" s="17">
        <v>0</v>
      </c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"/>
      <c r="S149" s="1"/>
    </row>
    <row r="150" spans="1:19" ht="12.75" customHeight="1" x14ac:dyDescent="0.2">
      <c r="A150" s="414" t="s">
        <v>44</v>
      </c>
      <c r="B150" s="414"/>
      <c r="C150" s="415"/>
      <c r="D150" s="16" t="s">
        <v>34</v>
      </c>
      <c r="E150" s="15">
        <f t="shared" ref="E150:Q150" si="21">E151+E152+E153+E154+E155</f>
        <v>185.1</v>
      </c>
      <c r="F150" s="15">
        <f t="shared" si="21"/>
        <v>185.1</v>
      </c>
      <c r="G150" s="15">
        <f t="shared" si="21"/>
        <v>0</v>
      </c>
      <c r="H150" s="15">
        <f t="shared" si="21"/>
        <v>0</v>
      </c>
      <c r="I150" s="15">
        <f t="shared" si="21"/>
        <v>0</v>
      </c>
      <c r="J150" s="15">
        <f t="shared" si="21"/>
        <v>0</v>
      </c>
      <c r="K150" s="15">
        <f t="shared" si="21"/>
        <v>0</v>
      </c>
      <c r="L150" s="15">
        <f t="shared" si="21"/>
        <v>0</v>
      </c>
      <c r="M150" s="15">
        <f t="shared" si="21"/>
        <v>0</v>
      </c>
      <c r="N150" s="15">
        <f t="shared" si="21"/>
        <v>0</v>
      </c>
      <c r="O150" s="15">
        <f t="shared" si="21"/>
        <v>0</v>
      </c>
      <c r="P150" s="15">
        <f t="shared" si="21"/>
        <v>0</v>
      </c>
      <c r="Q150" s="15">
        <f t="shared" si="21"/>
        <v>0</v>
      </c>
    </row>
    <row r="151" spans="1:19" ht="12.75" customHeight="1" x14ac:dyDescent="0.2">
      <c r="A151" s="414"/>
      <c r="B151" s="414"/>
      <c r="C151" s="416"/>
      <c r="D151" s="14" t="s">
        <v>6</v>
      </c>
      <c r="E151" s="13">
        <f>SUM(F151:Q151)</f>
        <v>0</v>
      </c>
      <c r="F151" s="13">
        <f t="shared" ref="F151:Q151" si="22">F139+F145</f>
        <v>0</v>
      </c>
      <c r="G151" s="13">
        <f t="shared" si="22"/>
        <v>0</v>
      </c>
      <c r="H151" s="13">
        <f t="shared" si="22"/>
        <v>0</v>
      </c>
      <c r="I151" s="13">
        <f t="shared" si="22"/>
        <v>0</v>
      </c>
      <c r="J151" s="13">
        <f t="shared" si="22"/>
        <v>0</v>
      </c>
      <c r="K151" s="13">
        <f t="shared" si="22"/>
        <v>0</v>
      </c>
      <c r="L151" s="13">
        <f t="shared" si="22"/>
        <v>0</v>
      </c>
      <c r="M151" s="13">
        <f t="shared" si="22"/>
        <v>0</v>
      </c>
      <c r="N151" s="13">
        <f t="shared" si="22"/>
        <v>0</v>
      </c>
      <c r="O151" s="13">
        <f t="shared" si="22"/>
        <v>0</v>
      </c>
      <c r="P151" s="13">
        <f t="shared" si="22"/>
        <v>0</v>
      </c>
      <c r="Q151" s="13">
        <f t="shared" si="22"/>
        <v>0</v>
      </c>
    </row>
    <row r="152" spans="1:19" ht="12.75" customHeight="1" x14ac:dyDescent="0.2">
      <c r="A152" s="414"/>
      <c r="B152" s="414"/>
      <c r="C152" s="416"/>
      <c r="D152" s="14" t="s">
        <v>7</v>
      </c>
      <c r="E152" s="13">
        <f>SUM(F152:Q152)</f>
        <v>0</v>
      </c>
      <c r="F152" s="13">
        <f t="shared" ref="F152:Q152" si="23">F140+F146</f>
        <v>0</v>
      </c>
      <c r="G152" s="13">
        <f t="shared" si="23"/>
        <v>0</v>
      </c>
      <c r="H152" s="13">
        <f t="shared" si="23"/>
        <v>0</v>
      </c>
      <c r="I152" s="13">
        <f t="shared" si="23"/>
        <v>0</v>
      </c>
      <c r="J152" s="13">
        <f t="shared" si="23"/>
        <v>0</v>
      </c>
      <c r="K152" s="13">
        <f t="shared" si="23"/>
        <v>0</v>
      </c>
      <c r="L152" s="13">
        <f t="shared" si="23"/>
        <v>0</v>
      </c>
      <c r="M152" s="13">
        <f t="shared" si="23"/>
        <v>0</v>
      </c>
      <c r="N152" s="13">
        <f t="shared" si="23"/>
        <v>0</v>
      </c>
      <c r="O152" s="13">
        <f t="shared" si="23"/>
        <v>0</v>
      </c>
      <c r="P152" s="13">
        <f t="shared" si="23"/>
        <v>0</v>
      </c>
      <c r="Q152" s="13">
        <f t="shared" si="23"/>
        <v>0</v>
      </c>
    </row>
    <row r="153" spans="1:19" ht="12.75" customHeight="1" x14ac:dyDescent="0.2">
      <c r="A153" s="414"/>
      <c r="B153" s="414"/>
      <c r="C153" s="416"/>
      <c r="D153" s="14" t="s">
        <v>8</v>
      </c>
      <c r="E153" s="13">
        <f>SUM(F153:Q153)</f>
        <v>150</v>
      </c>
      <c r="F153" s="13">
        <f t="shared" ref="F153:Q153" si="24">F141+F147</f>
        <v>150</v>
      </c>
      <c r="G153" s="13">
        <f t="shared" si="24"/>
        <v>0</v>
      </c>
      <c r="H153" s="13">
        <f t="shared" si="24"/>
        <v>0</v>
      </c>
      <c r="I153" s="13">
        <f t="shared" si="24"/>
        <v>0</v>
      </c>
      <c r="J153" s="13">
        <f t="shared" si="24"/>
        <v>0</v>
      </c>
      <c r="K153" s="13">
        <f t="shared" si="24"/>
        <v>0</v>
      </c>
      <c r="L153" s="13">
        <f t="shared" si="24"/>
        <v>0</v>
      </c>
      <c r="M153" s="13">
        <f t="shared" si="24"/>
        <v>0</v>
      </c>
      <c r="N153" s="13">
        <f t="shared" si="24"/>
        <v>0</v>
      </c>
      <c r="O153" s="13">
        <f t="shared" si="24"/>
        <v>0</v>
      </c>
      <c r="P153" s="13">
        <f t="shared" si="24"/>
        <v>0</v>
      </c>
      <c r="Q153" s="13">
        <f t="shared" si="24"/>
        <v>0</v>
      </c>
    </row>
    <row r="154" spans="1:19" ht="22.5" x14ac:dyDescent="0.2">
      <c r="A154" s="414"/>
      <c r="B154" s="414"/>
      <c r="C154" s="416"/>
      <c r="D154" s="14" t="s">
        <v>9</v>
      </c>
      <c r="E154" s="13">
        <f>SUM(F154:Q154)</f>
        <v>0</v>
      </c>
      <c r="F154" s="13">
        <f t="shared" ref="F154:Q154" si="25">F142+F148</f>
        <v>0</v>
      </c>
      <c r="G154" s="13">
        <f t="shared" si="25"/>
        <v>0</v>
      </c>
      <c r="H154" s="13">
        <f t="shared" si="25"/>
        <v>0</v>
      </c>
      <c r="I154" s="13">
        <f t="shared" si="25"/>
        <v>0</v>
      </c>
      <c r="J154" s="13">
        <f t="shared" si="25"/>
        <v>0</v>
      </c>
      <c r="K154" s="13">
        <f t="shared" si="25"/>
        <v>0</v>
      </c>
      <c r="L154" s="13">
        <f t="shared" si="25"/>
        <v>0</v>
      </c>
      <c r="M154" s="13">
        <f t="shared" si="25"/>
        <v>0</v>
      </c>
      <c r="N154" s="13">
        <f t="shared" si="25"/>
        <v>0</v>
      </c>
      <c r="O154" s="13">
        <f t="shared" si="25"/>
        <v>0</v>
      </c>
      <c r="P154" s="13">
        <f t="shared" si="25"/>
        <v>0</v>
      </c>
      <c r="Q154" s="13">
        <f t="shared" si="25"/>
        <v>0</v>
      </c>
    </row>
    <row r="155" spans="1:19" ht="12.75" customHeight="1" x14ac:dyDescent="0.2">
      <c r="A155" s="414"/>
      <c r="B155" s="414"/>
      <c r="C155" s="417"/>
      <c r="D155" s="14" t="s">
        <v>38</v>
      </c>
      <c r="E155" s="13">
        <f>SUM(F155:Q155)</f>
        <v>35.1</v>
      </c>
      <c r="F155" s="13">
        <f t="shared" ref="F155:Q155" si="26">F143+F149</f>
        <v>35.1</v>
      </c>
      <c r="G155" s="13">
        <f t="shared" si="26"/>
        <v>0</v>
      </c>
      <c r="H155" s="13">
        <f t="shared" si="26"/>
        <v>0</v>
      </c>
      <c r="I155" s="13">
        <f t="shared" si="26"/>
        <v>0</v>
      </c>
      <c r="J155" s="13">
        <f t="shared" si="26"/>
        <v>0</v>
      </c>
      <c r="K155" s="13">
        <f t="shared" si="26"/>
        <v>0</v>
      </c>
      <c r="L155" s="13">
        <f t="shared" si="26"/>
        <v>0</v>
      </c>
      <c r="M155" s="13">
        <f t="shared" si="26"/>
        <v>0</v>
      </c>
      <c r="N155" s="13">
        <f t="shared" si="26"/>
        <v>0</v>
      </c>
      <c r="O155" s="13">
        <f t="shared" si="26"/>
        <v>0</v>
      </c>
      <c r="P155" s="13">
        <f t="shared" si="26"/>
        <v>0</v>
      </c>
      <c r="Q155" s="13">
        <f t="shared" si="26"/>
        <v>0</v>
      </c>
    </row>
    <row r="156" spans="1:19" ht="12.75" customHeight="1" x14ac:dyDescent="0.2">
      <c r="A156" s="418" t="s">
        <v>18</v>
      </c>
      <c r="B156" s="418"/>
      <c r="C156" s="419"/>
      <c r="D156" s="12" t="s">
        <v>34</v>
      </c>
      <c r="E156" s="11">
        <f>E157+E159+E158+E160+E161</f>
        <v>309341.70296000002</v>
      </c>
      <c r="F156" s="11">
        <f>F157+F159+F158+F160+F161</f>
        <v>309341.70296000002</v>
      </c>
      <c r="G156" s="11">
        <f t="shared" ref="G156:Q156" si="27">G157+G158+G159+G160+G161</f>
        <v>0</v>
      </c>
      <c r="H156" s="11">
        <f t="shared" si="27"/>
        <v>0</v>
      </c>
      <c r="I156" s="11">
        <f t="shared" si="27"/>
        <v>0</v>
      </c>
      <c r="J156" s="11">
        <f t="shared" si="27"/>
        <v>0</v>
      </c>
      <c r="K156" s="11">
        <f t="shared" si="27"/>
        <v>0</v>
      </c>
      <c r="L156" s="11">
        <f t="shared" si="27"/>
        <v>0</v>
      </c>
      <c r="M156" s="11">
        <f t="shared" si="27"/>
        <v>0</v>
      </c>
      <c r="N156" s="11">
        <f t="shared" si="27"/>
        <v>0</v>
      </c>
      <c r="O156" s="11">
        <f t="shared" si="27"/>
        <v>0</v>
      </c>
      <c r="P156" s="11">
        <f t="shared" si="27"/>
        <v>0</v>
      </c>
      <c r="Q156" s="11">
        <f t="shared" si="27"/>
        <v>0</v>
      </c>
    </row>
    <row r="157" spans="1:19" ht="12.75" customHeight="1" x14ac:dyDescent="0.2">
      <c r="A157" s="418"/>
      <c r="B157" s="418"/>
      <c r="C157" s="420"/>
      <c r="D157" s="10" t="s">
        <v>6</v>
      </c>
      <c r="E157" s="9">
        <f t="shared" ref="E157:Q157" si="28">E132+E83+E151</f>
        <v>0</v>
      </c>
      <c r="F157" s="9">
        <f t="shared" si="28"/>
        <v>0</v>
      </c>
      <c r="G157" s="9">
        <f t="shared" si="28"/>
        <v>0</v>
      </c>
      <c r="H157" s="9">
        <f t="shared" si="28"/>
        <v>0</v>
      </c>
      <c r="I157" s="9">
        <f t="shared" si="28"/>
        <v>0</v>
      </c>
      <c r="J157" s="9">
        <f t="shared" si="28"/>
        <v>0</v>
      </c>
      <c r="K157" s="9">
        <f t="shared" si="28"/>
        <v>0</v>
      </c>
      <c r="L157" s="9">
        <f t="shared" si="28"/>
        <v>0</v>
      </c>
      <c r="M157" s="9">
        <f t="shared" si="28"/>
        <v>0</v>
      </c>
      <c r="N157" s="9">
        <f t="shared" si="28"/>
        <v>0</v>
      </c>
      <c r="O157" s="9">
        <f t="shared" si="28"/>
        <v>0</v>
      </c>
      <c r="P157" s="9">
        <f t="shared" si="28"/>
        <v>0</v>
      </c>
      <c r="Q157" s="9">
        <f t="shared" si="28"/>
        <v>0</v>
      </c>
    </row>
    <row r="158" spans="1:19" ht="12.75" customHeight="1" x14ac:dyDescent="0.2">
      <c r="A158" s="418"/>
      <c r="B158" s="418"/>
      <c r="C158" s="420"/>
      <c r="D158" s="10" t="s">
        <v>7</v>
      </c>
      <c r="E158" s="9">
        <f t="shared" ref="E158:Q158" si="29">E133+E84+E152</f>
        <v>734.32799999999997</v>
      </c>
      <c r="F158" s="9">
        <f t="shared" si="29"/>
        <v>734.32799999999997</v>
      </c>
      <c r="G158" s="9">
        <f t="shared" si="29"/>
        <v>0</v>
      </c>
      <c r="H158" s="9">
        <f t="shared" si="29"/>
        <v>0</v>
      </c>
      <c r="I158" s="9">
        <f t="shared" si="29"/>
        <v>0</v>
      </c>
      <c r="J158" s="9">
        <f t="shared" si="29"/>
        <v>0</v>
      </c>
      <c r="K158" s="9">
        <f t="shared" si="29"/>
        <v>0</v>
      </c>
      <c r="L158" s="9">
        <f t="shared" si="29"/>
        <v>0</v>
      </c>
      <c r="M158" s="9">
        <f t="shared" si="29"/>
        <v>0</v>
      </c>
      <c r="N158" s="9">
        <f t="shared" si="29"/>
        <v>0</v>
      </c>
      <c r="O158" s="9">
        <f t="shared" si="29"/>
        <v>0</v>
      </c>
      <c r="P158" s="9">
        <f t="shared" si="29"/>
        <v>0</v>
      </c>
      <c r="Q158" s="9">
        <f t="shared" si="29"/>
        <v>0</v>
      </c>
    </row>
    <row r="159" spans="1:19" ht="12.75" customHeight="1" x14ac:dyDescent="0.2">
      <c r="A159" s="418"/>
      <c r="B159" s="418"/>
      <c r="C159" s="420"/>
      <c r="D159" s="10" t="s">
        <v>8</v>
      </c>
      <c r="E159" s="9">
        <f>E134+E85+E153</f>
        <v>98241.354000000021</v>
      </c>
      <c r="F159" s="9">
        <f t="shared" ref="F159:Q159" si="30">F134+F85+F153</f>
        <v>98241.354000000021</v>
      </c>
      <c r="G159" s="9">
        <f t="shared" si="30"/>
        <v>0</v>
      </c>
      <c r="H159" s="9">
        <f t="shared" si="30"/>
        <v>0</v>
      </c>
      <c r="I159" s="9">
        <f t="shared" si="30"/>
        <v>0</v>
      </c>
      <c r="J159" s="9">
        <f t="shared" si="30"/>
        <v>0</v>
      </c>
      <c r="K159" s="9">
        <f t="shared" si="30"/>
        <v>0</v>
      </c>
      <c r="L159" s="9">
        <f t="shared" si="30"/>
        <v>0</v>
      </c>
      <c r="M159" s="9">
        <f t="shared" si="30"/>
        <v>0</v>
      </c>
      <c r="N159" s="9">
        <f t="shared" si="30"/>
        <v>0</v>
      </c>
      <c r="O159" s="9">
        <f t="shared" si="30"/>
        <v>0</v>
      </c>
      <c r="P159" s="9">
        <f t="shared" si="30"/>
        <v>0</v>
      </c>
      <c r="Q159" s="9">
        <f t="shared" si="30"/>
        <v>0</v>
      </c>
    </row>
    <row r="160" spans="1:19" ht="22.5" x14ac:dyDescent="0.2">
      <c r="A160" s="418"/>
      <c r="B160" s="418"/>
      <c r="C160" s="420"/>
      <c r="D160" s="10" t="s">
        <v>9</v>
      </c>
      <c r="E160" s="9">
        <f>E135+E86+E154</f>
        <v>0</v>
      </c>
      <c r="F160" s="9">
        <f t="shared" ref="F160:Q160" si="31">F135+F86+F154</f>
        <v>0</v>
      </c>
      <c r="G160" s="9">
        <f t="shared" si="31"/>
        <v>0</v>
      </c>
      <c r="H160" s="9">
        <f t="shared" si="31"/>
        <v>0</v>
      </c>
      <c r="I160" s="9">
        <f t="shared" si="31"/>
        <v>0</v>
      </c>
      <c r="J160" s="9">
        <f t="shared" si="31"/>
        <v>0</v>
      </c>
      <c r="K160" s="9">
        <f t="shared" si="31"/>
        <v>0</v>
      </c>
      <c r="L160" s="9">
        <f t="shared" si="31"/>
        <v>0</v>
      </c>
      <c r="M160" s="9">
        <f t="shared" si="31"/>
        <v>0</v>
      </c>
      <c r="N160" s="9">
        <f t="shared" si="31"/>
        <v>0</v>
      </c>
      <c r="O160" s="9">
        <f t="shared" si="31"/>
        <v>0</v>
      </c>
      <c r="P160" s="9">
        <f t="shared" si="31"/>
        <v>0</v>
      </c>
      <c r="Q160" s="9">
        <f t="shared" si="31"/>
        <v>0</v>
      </c>
    </row>
    <row r="161" spans="1:19" ht="12.75" customHeight="1" x14ac:dyDescent="0.2">
      <c r="A161" s="418"/>
      <c r="B161" s="418"/>
      <c r="C161" s="421"/>
      <c r="D161" s="10" t="s">
        <v>38</v>
      </c>
      <c r="E161" s="9">
        <f>E136+E87+E155</f>
        <v>210366.02095999999</v>
      </c>
      <c r="F161" s="9">
        <f t="shared" ref="F161:Q161" si="32">F136+F87+F155</f>
        <v>210366.02095999999</v>
      </c>
      <c r="G161" s="9">
        <f t="shared" si="32"/>
        <v>0</v>
      </c>
      <c r="H161" s="9">
        <f t="shared" si="32"/>
        <v>0</v>
      </c>
      <c r="I161" s="9">
        <f t="shared" si="32"/>
        <v>0</v>
      </c>
      <c r="J161" s="9">
        <f t="shared" si="32"/>
        <v>0</v>
      </c>
      <c r="K161" s="9">
        <f t="shared" si="32"/>
        <v>0</v>
      </c>
      <c r="L161" s="9">
        <f t="shared" si="32"/>
        <v>0</v>
      </c>
      <c r="M161" s="9">
        <f t="shared" si="32"/>
        <v>0</v>
      </c>
      <c r="N161" s="9">
        <f t="shared" si="32"/>
        <v>0</v>
      </c>
      <c r="O161" s="9">
        <f t="shared" si="32"/>
        <v>0</v>
      </c>
      <c r="P161" s="9">
        <f t="shared" si="32"/>
        <v>0</v>
      </c>
      <c r="Q161" s="9">
        <f t="shared" si="32"/>
        <v>0</v>
      </c>
      <c r="R161" s="1"/>
      <c r="S161" s="1"/>
    </row>
    <row r="162" spans="1:19" ht="15.75" x14ac:dyDescent="0.2">
      <c r="A162" s="412"/>
      <c r="B162" s="412"/>
      <c r="C162" s="412"/>
      <c r="D162" s="412"/>
      <c r="E162" s="412"/>
      <c r="F162" s="412"/>
      <c r="G162" s="412"/>
      <c r="H162" s="412"/>
      <c r="I162" s="412"/>
      <c r="J162" s="8"/>
      <c r="K162" s="8"/>
      <c r="L162" s="8"/>
      <c r="M162" s="8"/>
      <c r="N162" s="8"/>
      <c r="O162" s="8"/>
      <c r="P162" s="8"/>
      <c r="Q162" s="8"/>
      <c r="R162" s="1"/>
      <c r="S162" s="1"/>
    </row>
    <row r="163" spans="1:19" x14ac:dyDescent="0.2">
      <c r="C163" s="5"/>
      <c r="R163" s="1"/>
      <c r="S163" s="1"/>
    </row>
    <row r="164" spans="1:19" x14ac:dyDescent="0.2">
      <c r="C164" s="5"/>
      <c r="R164" s="1"/>
      <c r="S164" s="1"/>
    </row>
    <row r="165" spans="1:19" x14ac:dyDescent="0.2">
      <c r="C165" s="5"/>
      <c r="F165" s="7"/>
      <c r="J165" s="7"/>
      <c r="N165" s="7"/>
      <c r="R165" s="1"/>
      <c r="S165" s="1"/>
    </row>
    <row r="166" spans="1:19" x14ac:dyDescent="0.2">
      <c r="C166" s="5"/>
      <c r="R166" s="1"/>
      <c r="S166" s="1"/>
    </row>
    <row r="167" spans="1:19" x14ac:dyDescent="0.2">
      <c r="C167" s="5"/>
      <c r="R167" s="1"/>
      <c r="S167" s="1"/>
    </row>
    <row r="168" spans="1:19" x14ac:dyDescent="0.2">
      <c r="C168" s="5"/>
      <c r="R168" s="1"/>
      <c r="S168" s="1"/>
    </row>
    <row r="169" spans="1:19" x14ac:dyDescent="0.2">
      <c r="C169" s="5"/>
      <c r="R169" s="1"/>
      <c r="S169" s="1"/>
    </row>
    <row r="170" spans="1:19" x14ac:dyDescent="0.2">
      <c r="C170" s="5"/>
      <c r="R170" s="1"/>
      <c r="S170" s="1"/>
    </row>
    <row r="171" spans="1:19" x14ac:dyDescent="0.2">
      <c r="C171" s="5"/>
      <c r="R171" s="1"/>
      <c r="S171" s="1"/>
    </row>
    <row r="172" spans="1:19" x14ac:dyDescent="0.2">
      <c r="C172" s="5"/>
      <c r="R172" s="1"/>
      <c r="S172" s="1"/>
    </row>
    <row r="173" spans="1:19" x14ac:dyDescent="0.2">
      <c r="C173" s="5"/>
      <c r="R173" s="1"/>
      <c r="S173" s="1"/>
    </row>
    <row r="174" spans="1:19" x14ac:dyDescent="0.2">
      <c r="C174" s="5"/>
      <c r="R174" s="1"/>
      <c r="S174" s="1"/>
    </row>
    <row r="175" spans="1:19" x14ac:dyDescent="0.2">
      <c r="C175" s="5"/>
      <c r="R175" s="1"/>
      <c r="S175" s="1"/>
    </row>
    <row r="176" spans="1:19" x14ac:dyDescent="0.2">
      <c r="C176" s="5"/>
      <c r="R176" s="1"/>
      <c r="S176" s="1"/>
    </row>
    <row r="177" spans="2:19" x14ac:dyDescent="0.2">
      <c r="B177" s="1"/>
      <c r="C177" s="5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2:19" x14ac:dyDescent="0.2">
      <c r="B178" s="1"/>
      <c r="C178" s="5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2:19" x14ac:dyDescent="0.2">
      <c r="B179" s="1"/>
      <c r="C179" s="5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2:19" x14ac:dyDescent="0.2">
      <c r="B180" s="1"/>
      <c r="C180" s="5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2:19" x14ac:dyDescent="0.2">
      <c r="B181" s="1"/>
      <c r="C181" s="5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2:19" x14ac:dyDescent="0.2">
      <c r="B182" s="1"/>
      <c r="C182" s="5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2:19" x14ac:dyDescent="0.2">
      <c r="B183" s="1"/>
      <c r="C183" s="5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2:19" x14ac:dyDescent="0.2">
      <c r="B184" s="1"/>
      <c r="C184" s="5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2:19" x14ac:dyDescent="0.2">
      <c r="B185" s="1"/>
      <c r="C185" s="5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2:19" x14ac:dyDescent="0.2">
      <c r="B186" s="1"/>
      <c r="C186" s="5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2:19" x14ac:dyDescent="0.2">
      <c r="B187" s="1"/>
      <c r="C187" s="5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2:19" x14ac:dyDescent="0.2">
      <c r="B188" s="1"/>
      <c r="C188" s="5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2:19" x14ac:dyDescent="0.2">
      <c r="B189" s="1"/>
      <c r="C189" s="5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2:19" x14ac:dyDescent="0.2">
      <c r="B190" s="1"/>
      <c r="C190" s="5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2:19" x14ac:dyDescent="0.2">
      <c r="B191" s="1"/>
      <c r="C191" s="5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2:19" x14ac:dyDescent="0.2">
      <c r="B192" s="1"/>
      <c r="C192" s="5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2:19" x14ac:dyDescent="0.2">
      <c r="B193" s="1"/>
      <c r="C193" s="5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2:19" ht="15.75" x14ac:dyDescent="0.2">
      <c r="B194" s="1"/>
      <c r="C194" s="6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2:19" x14ac:dyDescent="0.2">
      <c r="B195" s="1"/>
      <c r="C195" s="5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</sheetData>
  <mergeCells count="76">
    <mergeCell ref="B125:B130"/>
    <mergeCell ref="C125:C130"/>
    <mergeCell ref="G1:I2"/>
    <mergeCell ref="K1:M2"/>
    <mergeCell ref="O1:Q2"/>
    <mergeCell ref="A3:Q3"/>
    <mergeCell ref="A4:Q4"/>
    <mergeCell ref="A6:A7"/>
    <mergeCell ref="B6:B7"/>
    <mergeCell ref="C6:C7"/>
    <mergeCell ref="D6:D7"/>
    <mergeCell ref="E6:E7"/>
    <mergeCell ref="F6:Q6"/>
    <mergeCell ref="A9:Q9"/>
    <mergeCell ref="A10:A15"/>
    <mergeCell ref="B10:B15"/>
    <mergeCell ref="C10:C15"/>
    <mergeCell ref="A34:A45"/>
    <mergeCell ref="B34:B45"/>
    <mergeCell ref="C34:C39"/>
    <mergeCell ref="C40:C45"/>
    <mergeCell ref="A52:A63"/>
    <mergeCell ref="B52:B63"/>
    <mergeCell ref="C52:C57"/>
    <mergeCell ref="C58:C63"/>
    <mergeCell ref="A70:A75"/>
    <mergeCell ref="B70:B75"/>
    <mergeCell ref="C70:C75"/>
    <mergeCell ref="A76:A81"/>
    <mergeCell ref="B76:B81"/>
    <mergeCell ref="C76:C81"/>
    <mergeCell ref="A82:B87"/>
    <mergeCell ref="C82:C87"/>
    <mergeCell ref="A88:Q88"/>
    <mergeCell ref="A89:A94"/>
    <mergeCell ref="B89:B94"/>
    <mergeCell ref="C89:C94"/>
    <mergeCell ref="C119:C124"/>
    <mergeCell ref="A95:A100"/>
    <mergeCell ref="B95:B100"/>
    <mergeCell ref="C95:C100"/>
    <mergeCell ref="A101:A106"/>
    <mergeCell ref="B101:B106"/>
    <mergeCell ref="C101:C106"/>
    <mergeCell ref="C113:C118"/>
    <mergeCell ref="B113:B118"/>
    <mergeCell ref="A107:A112"/>
    <mergeCell ref="B107:B112"/>
    <mergeCell ref="C107:C112"/>
    <mergeCell ref="C131:C136"/>
    <mergeCell ref="A137:Q137"/>
    <mergeCell ref="A138:A143"/>
    <mergeCell ref="B138:B143"/>
    <mergeCell ref="C138:C143"/>
    <mergeCell ref="A119:A124"/>
    <mergeCell ref="B119:B124"/>
    <mergeCell ref="C28:C33"/>
    <mergeCell ref="A162:I162"/>
    <mergeCell ref="A144:A149"/>
    <mergeCell ref="B144:B149"/>
    <mergeCell ref="C144:C149"/>
    <mergeCell ref="A150:B155"/>
    <mergeCell ref="C150:C155"/>
    <mergeCell ref="A156:B161"/>
    <mergeCell ref="C156:C161"/>
    <mergeCell ref="A131:B136"/>
    <mergeCell ref="C64:C69"/>
    <mergeCell ref="B64:B69"/>
    <mergeCell ref="C46:C51"/>
    <mergeCell ref="A46:A51"/>
    <mergeCell ref="B46:B51"/>
    <mergeCell ref="C16:C21"/>
    <mergeCell ref="B16:B21"/>
    <mergeCell ref="B22:B27"/>
    <mergeCell ref="C22:C27"/>
    <mergeCell ref="B28:B33"/>
  </mergeCells>
  <pageMargins left="0.28999999999999998" right="0.43" top="0.75" bottom="0.44" header="0.3" footer="0.3"/>
  <pageSetup paperSize="9" scale="46" orientation="landscape" r:id="rId1"/>
  <rowBreaks count="3" manualBreakCount="3">
    <brk id="51" max="16383" man="1"/>
    <brk id="106" max="16383" man="1"/>
    <brk id="161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таблица 1 </vt:lpstr>
      <vt:lpstr> таблица 2</vt:lpstr>
      <vt:lpstr>таблица 3 </vt:lpstr>
      <vt:lpstr>таблица 4</vt:lpstr>
      <vt:lpstr>таблица 5  </vt:lpstr>
      <vt:lpstr>таблица 6</vt:lpstr>
      <vt:lpstr>таблица 7</vt:lpstr>
      <vt:lpstr>комплексный план</vt:lpstr>
      <vt:lpstr>' таблица 2'!Заголовки_для_печати</vt:lpstr>
      <vt:lpstr>'таблица 4'!Заголовки_для_печати</vt:lpstr>
      <vt:lpstr>'таблица 5  '!Заголовки_для_печати</vt:lpstr>
      <vt:lpstr>'таблица 6'!Заголовки_для_печати</vt:lpstr>
      <vt:lpstr>' таблица 2'!Область_печати</vt:lpstr>
      <vt:lpstr>'таблица 1 '!Область_печати</vt:lpstr>
      <vt:lpstr>'таблица 3 '!Область_печати</vt:lpstr>
      <vt:lpstr>'таблица 4'!Область_печати</vt:lpstr>
      <vt:lpstr>'таблица 5  '!Область_печати</vt:lpstr>
      <vt:lpstr>'таблица 6'!Область_печати</vt:lpstr>
      <vt:lpstr>'таблица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Сипайлова Ольга Николаевна</cp:lastModifiedBy>
  <cp:lastPrinted>2021-02-11T04:41:05Z</cp:lastPrinted>
  <dcterms:created xsi:type="dcterms:W3CDTF">2015-10-23T09:26:33Z</dcterms:created>
  <dcterms:modified xsi:type="dcterms:W3CDTF">2021-02-15T07:34:43Z</dcterms:modified>
</cp:coreProperties>
</file>