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hercules\buh_anr$\ОТДЕЛ  ПРОГРАММНО-ЦЕЛЕВОГО ПЛАНИРОВАНИЯ\ПРОЕКТЫ БЮДЖЕТА\ПРОЕКТ БЮДЖЕТА на 2023 год\ЗАГС\На отправку в ДФ\"/>
    </mc:Choice>
  </mc:AlternateContent>
  <xr:revisionPtr revIDLastSave="0" documentId="8_{105CBBEE-472C-41FB-A99B-8554BD2DAB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7" i="1"/>
  <c r="P19" i="1"/>
  <c r="O19" i="1"/>
  <c r="Q25" i="1"/>
  <c r="I25" i="1"/>
  <c r="L25" i="1" s="1"/>
  <c r="Q24" i="1"/>
  <c r="M24" i="1" s="1"/>
  <c r="I24" i="1"/>
  <c r="P23" i="1"/>
  <c r="O23" i="1"/>
  <c r="E23" i="1"/>
  <c r="G23" i="1" s="1"/>
  <c r="I23" i="1" s="1"/>
  <c r="L23" i="1" s="1"/>
  <c r="P22" i="1"/>
  <c r="O22" i="1"/>
  <c r="E22" i="1"/>
  <c r="G22" i="1" s="1"/>
  <c r="I22" i="1" s="1"/>
  <c r="L22" i="1" s="1"/>
  <c r="P21" i="1"/>
  <c r="O21" i="1"/>
  <c r="O17" i="1" s="1"/>
  <c r="E21" i="1"/>
  <c r="G21" i="1" s="1"/>
  <c r="I21" i="1" s="1"/>
  <c r="L21" i="1" s="1"/>
  <c r="P20" i="1"/>
  <c r="O20" i="1"/>
  <c r="Q20" i="1" s="1"/>
  <c r="E20" i="1"/>
  <c r="G20" i="1" s="1"/>
  <c r="I20" i="1" s="1"/>
  <c r="L20" i="1" s="1"/>
  <c r="K19" i="1"/>
  <c r="J19" i="1"/>
  <c r="J17" i="1" s="1"/>
  <c r="N17" i="1"/>
  <c r="P11" i="1"/>
  <c r="S11" i="1" s="1"/>
  <c r="U11" i="1" s="1"/>
  <c r="O11" i="1"/>
  <c r="R11" i="1" s="1"/>
  <c r="T11" i="1" s="1"/>
  <c r="P10" i="1"/>
  <c r="S10" i="1" s="1"/>
  <c r="U10" i="1" s="1"/>
  <c r="O10" i="1"/>
  <c r="R10" i="1" s="1"/>
  <c r="T10" i="1" s="1"/>
  <c r="P9" i="1"/>
  <c r="O9" i="1"/>
  <c r="P8" i="1"/>
  <c r="O8" i="1"/>
  <c r="S9" i="1"/>
  <c r="U9" i="1" s="1"/>
  <c r="R9" i="1"/>
  <c r="T9" i="1" s="1"/>
  <c r="Q21" i="1" l="1"/>
  <c r="M21" i="1" s="1"/>
  <c r="P17" i="1"/>
  <c r="Q23" i="1"/>
  <c r="M23" i="1" s="1"/>
  <c r="L17" i="1"/>
  <c r="Q22" i="1"/>
  <c r="M22" i="1" s="1"/>
  <c r="M20" i="1"/>
  <c r="Q17" i="1" l="1"/>
  <c r="M17" i="1"/>
  <c r="N5" i="1"/>
  <c r="K7" i="1"/>
  <c r="J7" i="1"/>
  <c r="J5" i="1" s="1"/>
  <c r="I12" i="1"/>
  <c r="I13" i="1"/>
  <c r="E9" i="1"/>
  <c r="G9" i="1" s="1"/>
  <c r="I9" i="1" s="1"/>
  <c r="E10" i="1"/>
  <c r="G10" i="1" s="1"/>
  <c r="I10" i="1" s="1"/>
  <c r="E11" i="1"/>
  <c r="G11" i="1" s="1"/>
  <c r="I11" i="1" s="1"/>
  <c r="E8" i="1"/>
  <c r="G8" i="1" s="1"/>
  <c r="I8" i="1" s="1"/>
  <c r="Q13" i="1" l="1"/>
  <c r="L13" i="1"/>
  <c r="Q12" i="1"/>
  <c r="M12" i="1" s="1"/>
  <c r="Q11" i="1"/>
  <c r="M11" i="1" s="1"/>
  <c r="L11" i="1"/>
  <c r="Q10" i="1"/>
  <c r="M10" i="1" s="1"/>
  <c r="L10" i="1"/>
  <c r="Q9" i="1"/>
  <c r="L9" i="1"/>
  <c r="L8" i="1"/>
  <c r="M9" i="1" l="1"/>
  <c r="L5" i="1"/>
  <c r="R8" i="1" l="1"/>
  <c r="T8" i="1"/>
  <c r="O5" i="1"/>
  <c r="Q8" i="1"/>
  <c r="Q5" i="1" s="1"/>
  <c r="M8" i="1"/>
  <c r="M5" i="1" s="1"/>
  <c r="S8" i="1"/>
  <c r="U8" i="1" s="1"/>
  <c r="P5" i="1"/>
</calcChain>
</file>

<file path=xl/sharedStrings.xml><?xml version="1.0" encoding="utf-8"?>
<sst xmlns="http://schemas.openxmlformats.org/spreadsheetml/2006/main" count="77" uniqueCount="39">
  <si>
    <t>Кол-во жителей в одном поселении (по данным 191-п)</t>
  </si>
  <si>
    <t>ФОТ (главный специалист специалисты/старшая) Базовый год, рублей</t>
  </si>
  <si>
    <t>1. Среднее количество агс за три года по всем поселениям 
и 
2. Среднее число агс, регистрируемое одним муниципальным районом</t>
  </si>
  <si>
    <t>Всего (ФБ+БАО), рублей</t>
  </si>
  <si>
    <t>Нефтеюганский район</t>
  </si>
  <si>
    <t>отдел ЗАГС</t>
  </si>
  <si>
    <t>всего по поселениям</t>
  </si>
  <si>
    <t>21.</t>
  </si>
  <si>
    <t>Пойковский</t>
  </si>
  <si>
    <t>20 000 - 30 000</t>
  </si>
  <si>
    <t>22.</t>
  </si>
  <si>
    <t>Салым</t>
  </si>
  <si>
    <t>4 000 - 10 000</t>
  </si>
  <si>
    <t>23.</t>
  </si>
  <si>
    <t>Куть-Ях</t>
  </si>
  <si>
    <t>1 000 - 4 000</t>
  </si>
  <si>
    <t>24.</t>
  </si>
  <si>
    <t>Усть-Юган</t>
  </si>
  <si>
    <t>25.</t>
  </si>
  <si>
    <t>Сингапай</t>
  </si>
  <si>
    <t>26.</t>
  </si>
  <si>
    <t>Лемпино</t>
  </si>
  <si>
    <t>до 1 000</t>
  </si>
  <si>
    <t>Доплата к заработной плате от количества зарегистрированных актов, рублей</t>
  </si>
  <si>
    <t>Примечание*</t>
  </si>
  <si>
    <t>* Расчет произведен по Методике расчета объема субвенций, предоставляемых местным бюджетам из бюджета автономного округа для осуществления переданных государственных полномочий Российской Федерации в сфере государственной регистрации актов гражданского состояния (от 30.09.2008 № 91-оз «О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в сфере государственной регистрации актов гражданского состояния»).</t>
  </si>
  <si>
    <t xml:space="preserve">Расчет распределения субвенций на осуществление переданных полномочий Российской Федерации на государственную регистрацию актов гражданского состояния за счет средств федерального и окружного бюджетов муниципальному образованию Нефтеюганский район </t>
  </si>
  <si>
    <t>на 2023 год</t>
  </si>
  <si>
    <t>на 2024-2025 годы</t>
  </si>
  <si>
    <t>ФОТ за 9 месяцев 2023 год</t>
  </si>
  <si>
    <t>ФОТ за 3 месяцев 2023 год (с 01.10.2023 увеличен на 5,5%)</t>
  </si>
  <si>
    <t>ФОТ 2023 год</t>
  </si>
  <si>
    <t>С учетом ФОТ и 10 % расходы на содержание специалиста (с округлением), рублей</t>
  </si>
  <si>
    <t>% от общего ФОТ МР, ГО, г/с поселений (без 9%)</t>
  </si>
  <si>
    <r>
      <t>Сумма субвенции  бюджет автономного округа</t>
    </r>
    <r>
      <rPr>
        <b/>
        <sz val="10"/>
        <rFont val="Times New Roman"/>
        <family val="1"/>
        <charset val="204"/>
      </rPr>
      <t xml:space="preserve"> (с округлением)</t>
    </r>
    <r>
      <rPr>
        <sz val="10"/>
        <rFont val="Times New Roman"/>
        <family val="1"/>
        <charset val="204"/>
      </rPr>
      <t>, рублей</t>
    </r>
  </si>
  <si>
    <r>
      <t>% в рублях от объема Фед.субвенции, выделенной субъекту на исполнение полномочий</t>
    </r>
    <r>
      <rPr>
        <b/>
        <sz val="10"/>
        <rFont val="Times New Roman"/>
        <family val="1"/>
        <charset val="204"/>
      </rPr>
      <t xml:space="preserve"> (с округлением), </t>
    </r>
    <r>
      <rPr>
        <sz val="10"/>
        <rFont val="Times New Roman"/>
        <family val="1"/>
        <charset val="204"/>
      </rPr>
      <t>рублей</t>
    </r>
  </si>
  <si>
    <t>Начисления 30,2%</t>
  </si>
  <si>
    <t>ФОТ + начисления 30,2% (год), рублей</t>
  </si>
  <si>
    <t>Среднее количество записей агс (за 2019-2021 гг)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</si>
</sst>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#,##0.000000"/>
    <numFmt numFmtId="172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164" fontId="6" fillId="0" borderId="0" xfId="1" applyNumberFormat="1" applyFont="1"/>
    <xf numFmtId="0" fontId="7" fillId="0" borderId="0" xfId="0" applyFont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4" fontId="6" fillId="0" borderId="0" xfId="0" applyNumberFormat="1" applyFont="1"/>
    <xf numFmtId="172" fontId="3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/>
    </xf>
    <xf numFmtId="4" fontId="4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8"/>
  <sheetViews>
    <sheetView tabSelected="1" zoomScale="80" zoomScaleNormal="80" workbookViewId="0">
      <selection activeCell="W11" sqref="W11"/>
    </sheetView>
  </sheetViews>
  <sheetFormatPr defaultColWidth="8.85546875" defaultRowHeight="15" x14ac:dyDescent="0.25"/>
  <cols>
    <col min="1" max="1" width="8.85546875" style="11"/>
    <col min="2" max="2" width="20" style="11" customWidth="1"/>
    <col min="3" max="3" width="18.28515625" style="11" customWidth="1"/>
    <col min="4" max="7" width="16.5703125" style="11" customWidth="1"/>
    <col min="8" max="8" width="11.5703125" style="11" customWidth="1"/>
    <col min="9" max="9" width="17.28515625" style="11" customWidth="1"/>
    <col min="10" max="10" width="14" style="11" customWidth="1"/>
    <col min="11" max="11" width="21" style="11" customWidth="1"/>
    <col min="12" max="12" width="17.7109375" style="11" customWidth="1"/>
    <col min="13" max="13" width="17.42578125" style="11" customWidth="1"/>
    <col min="14" max="14" width="13.140625" style="11" customWidth="1"/>
    <col min="15" max="15" width="17.5703125" style="11" customWidth="1"/>
    <col min="16" max="17" width="14.7109375" style="11" customWidth="1"/>
    <col min="18" max="19" width="14.7109375" style="11" hidden="1" customWidth="1"/>
    <col min="20" max="21" width="8.85546875" style="11" hidden="1" customWidth="1"/>
    <col min="22" max="16384" width="8.85546875" style="11"/>
  </cols>
  <sheetData>
    <row r="1" spans="1:21" x14ac:dyDescent="0.25">
      <c r="M1" s="10"/>
      <c r="N1" s="10"/>
      <c r="O1" s="10"/>
      <c r="P1" s="10"/>
      <c r="Q1" s="10"/>
      <c r="R1" s="10"/>
      <c r="S1" s="10"/>
    </row>
    <row r="2" spans="1:21" ht="30" customHeight="1" x14ac:dyDescent="0.25">
      <c r="A2" s="16" t="s">
        <v>26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5"/>
      <c r="S2" s="15"/>
    </row>
    <row r="3" spans="1:21" ht="30" customHeight="1" x14ac:dyDescent="0.25">
      <c r="A3" s="28" t="s">
        <v>27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1"/>
      <c r="S3" s="21"/>
    </row>
    <row r="4" spans="1:21" ht="133.5" customHeight="1" x14ac:dyDescent="0.25">
      <c r="A4" s="14"/>
      <c r="B4" s="14"/>
      <c r="C4" s="14" t="s">
        <v>0</v>
      </c>
      <c r="D4" s="14" t="s">
        <v>1</v>
      </c>
      <c r="E4" s="14" t="s">
        <v>29</v>
      </c>
      <c r="F4" s="14" t="s">
        <v>30</v>
      </c>
      <c r="G4" s="14" t="s">
        <v>31</v>
      </c>
      <c r="H4" s="14" t="s">
        <v>36</v>
      </c>
      <c r="I4" s="14" t="s">
        <v>37</v>
      </c>
      <c r="J4" s="14" t="s">
        <v>38</v>
      </c>
      <c r="K4" s="14" t="s">
        <v>2</v>
      </c>
      <c r="L4" s="14" t="s">
        <v>23</v>
      </c>
      <c r="M4" s="29" t="s">
        <v>32</v>
      </c>
      <c r="N4" s="14" t="s">
        <v>33</v>
      </c>
      <c r="O4" s="30" t="s">
        <v>35</v>
      </c>
      <c r="P4" s="30" t="s">
        <v>34</v>
      </c>
      <c r="Q4" s="14" t="s">
        <v>3</v>
      </c>
      <c r="R4" s="22"/>
      <c r="S4" s="22"/>
    </row>
    <row r="5" spans="1:21" ht="30" customHeight="1" x14ac:dyDescent="0.25">
      <c r="A5" s="17" t="s">
        <v>4</v>
      </c>
      <c r="B5" s="17"/>
      <c r="C5" s="1"/>
      <c r="D5" s="1"/>
      <c r="E5" s="1"/>
      <c r="F5" s="1"/>
      <c r="G5" s="1"/>
      <c r="H5" s="2"/>
      <c r="I5" s="2"/>
      <c r="J5" s="3">
        <f>J6+J7</f>
        <v>1055</v>
      </c>
      <c r="K5" s="3">
        <v>677.33</v>
      </c>
      <c r="L5" s="4">
        <f>SUM(L8:L13)</f>
        <v>901855.80857378221</v>
      </c>
      <c r="M5" s="4">
        <f>SUM(M8:M13)</f>
        <v>993000</v>
      </c>
      <c r="N5" s="20">
        <f>N8+N9+N10+N11</f>
        <v>0.48299999999999998</v>
      </c>
      <c r="O5" s="4">
        <f>O8+O9+O10+O11+O12+O13</f>
        <v>773000</v>
      </c>
      <c r="P5" s="4">
        <f t="shared" ref="P5" si="0">P8+P9+P10+P11+P12+P13</f>
        <v>220000</v>
      </c>
      <c r="Q5" s="4">
        <f>Q8+Q9+Q10+Q11+Q12+Q13</f>
        <v>993000</v>
      </c>
      <c r="R5" s="23"/>
      <c r="S5" s="23"/>
    </row>
    <row r="6" spans="1:21" ht="24.75" customHeight="1" x14ac:dyDescent="0.25">
      <c r="A6" s="17"/>
      <c r="B6" s="1" t="s">
        <v>5</v>
      </c>
      <c r="C6" s="1"/>
      <c r="D6" s="1"/>
      <c r="E6" s="1"/>
      <c r="F6" s="1"/>
      <c r="G6" s="1"/>
      <c r="H6" s="2"/>
      <c r="I6" s="2"/>
      <c r="J6" s="7">
        <v>391</v>
      </c>
      <c r="K6" s="7"/>
      <c r="L6" s="8"/>
      <c r="M6" s="8"/>
      <c r="N6" s="6"/>
      <c r="O6" s="9"/>
      <c r="P6" s="6"/>
      <c r="Q6" s="6"/>
      <c r="R6" s="24"/>
      <c r="S6" s="24"/>
    </row>
    <row r="7" spans="1:21" ht="30" customHeight="1" x14ac:dyDescent="0.25">
      <c r="A7" s="17"/>
      <c r="B7" s="1" t="s">
        <v>6</v>
      </c>
      <c r="C7" s="1"/>
      <c r="D7" s="1"/>
      <c r="E7" s="1"/>
      <c r="F7" s="1"/>
      <c r="G7" s="1"/>
      <c r="H7" s="2"/>
      <c r="I7" s="2"/>
      <c r="J7" s="7">
        <f>J8+J9+J10+J11+J12+J13</f>
        <v>664</v>
      </c>
      <c r="K7" s="7">
        <f>K8+K9+K10+K11+K12+K13</f>
        <v>664</v>
      </c>
      <c r="L7" s="8"/>
      <c r="M7" s="8"/>
      <c r="N7" s="6"/>
      <c r="O7" s="6">
        <f>O5</f>
        <v>773000</v>
      </c>
      <c r="P7" s="6">
        <f>P5</f>
        <v>220000</v>
      </c>
      <c r="Q7" s="31"/>
      <c r="R7" s="25"/>
      <c r="S7" s="25"/>
    </row>
    <row r="8" spans="1:21" ht="18" customHeight="1" x14ac:dyDescent="0.25">
      <c r="A8" s="7" t="s">
        <v>7</v>
      </c>
      <c r="B8" s="1" t="s">
        <v>8</v>
      </c>
      <c r="C8" s="1" t="s">
        <v>9</v>
      </c>
      <c r="D8" s="9">
        <v>709222.71</v>
      </c>
      <c r="E8" s="9">
        <f>D8/12*9</f>
        <v>531917.03249999997</v>
      </c>
      <c r="F8" s="9">
        <v>187057.49</v>
      </c>
      <c r="G8" s="9">
        <f>E8+F8</f>
        <v>718974.52249999996</v>
      </c>
      <c r="H8" s="2">
        <v>1.302</v>
      </c>
      <c r="I8" s="6">
        <f>(G8*30.2%)+G8</f>
        <v>936104.8282949999</v>
      </c>
      <c r="J8" s="7">
        <v>484</v>
      </c>
      <c r="K8" s="7">
        <v>484</v>
      </c>
      <c r="L8" s="9">
        <f>I8*(K8/K5)</f>
        <v>668912.84439605498</v>
      </c>
      <c r="M8" s="9">
        <f>Q8</f>
        <v>736300</v>
      </c>
      <c r="N8" s="5">
        <v>0.35799999999999998</v>
      </c>
      <c r="O8" s="9">
        <f>573289.75+10.25</f>
        <v>573300</v>
      </c>
      <c r="P8" s="9">
        <f>162514.38+485.62</f>
        <v>163000</v>
      </c>
      <c r="Q8" s="4">
        <f>O8+P8</f>
        <v>736300</v>
      </c>
      <c r="R8" s="27">
        <f>O8</f>
        <v>573300</v>
      </c>
      <c r="S8" s="27">
        <f>P8</f>
        <v>163000</v>
      </c>
      <c r="T8" s="19">
        <f>573300-R8</f>
        <v>0</v>
      </c>
      <c r="U8" s="19">
        <f>163000-S8</f>
        <v>0</v>
      </c>
    </row>
    <row r="9" spans="1:21" ht="15" customHeight="1" x14ac:dyDescent="0.25">
      <c r="A9" s="7" t="s">
        <v>10</v>
      </c>
      <c r="B9" s="1" t="s">
        <v>11</v>
      </c>
      <c r="C9" s="1" t="s">
        <v>12</v>
      </c>
      <c r="D9" s="9">
        <v>664103.17000000004</v>
      </c>
      <c r="E9" s="9">
        <f t="shared" ref="E9:E13" si="1">D9/12*9</f>
        <v>498077.37750000006</v>
      </c>
      <c r="F9" s="9">
        <v>175157.21</v>
      </c>
      <c r="G9" s="9">
        <f t="shared" ref="G9:G11" si="2">E9+F9</f>
        <v>673234.58750000002</v>
      </c>
      <c r="H9" s="2">
        <v>1.302</v>
      </c>
      <c r="I9" s="6">
        <f t="shared" ref="I9:I13" si="3">(G9*30.2%)+G9</f>
        <v>876551.43292500009</v>
      </c>
      <c r="J9" s="7">
        <v>130</v>
      </c>
      <c r="K9" s="7">
        <v>130</v>
      </c>
      <c r="L9" s="9">
        <f>I9*(K9/K5)</f>
        <v>168236.58523946968</v>
      </c>
      <c r="M9" s="9">
        <f t="shared" ref="M9:M12" si="4">Q9</f>
        <v>185200</v>
      </c>
      <c r="N9" s="5">
        <v>0.09</v>
      </c>
      <c r="O9" s="9">
        <f>144186.66+13.34</f>
        <v>144200</v>
      </c>
      <c r="P9" s="9">
        <f>40873.58+126.42</f>
        <v>41000</v>
      </c>
      <c r="Q9" s="4">
        <f t="shared" ref="Q9:Q13" si="5">O9+P9</f>
        <v>185200</v>
      </c>
      <c r="R9" s="27">
        <f t="shared" ref="R9:R11" si="6">O9</f>
        <v>144200</v>
      </c>
      <c r="S9" s="27">
        <f t="shared" ref="S9:S11" si="7">P9</f>
        <v>41000</v>
      </c>
      <c r="T9" s="19">
        <f>144200-R9</f>
        <v>0</v>
      </c>
      <c r="U9" s="19">
        <f>41000-S9</f>
        <v>0</v>
      </c>
    </row>
    <row r="10" spans="1:21" ht="21.75" customHeight="1" x14ac:dyDescent="0.25">
      <c r="A10" s="7" t="s">
        <v>13</v>
      </c>
      <c r="B10" s="1" t="s">
        <v>14</v>
      </c>
      <c r="C10" s="1" t="s">
        <v>15</v>
      </c>
      <c r="D10" s="9">
        <v>664103.17000000004</v>
      </c>
      <c r="E10" s="9">
        <f t="shared" si="1"/>
        <v>498077.37750000006</v>
      </c>
      <c r="F10" s="9">
        <v>175157.21</v>
      </c>
      <c r="G10" s="9">
        <f t="shared" si="2"/>
        <v>673234.58750000002</v>
      </c>
      <c r="H10" s="2">
        <v>1.302</v>
      </c>
      <c r="I10" s="6">
        <f t="shared" si="3"/>
        <v>876551.43292500009</v>
      </c>
      <c r="J10" s="7">
        <v>39</v>
      </c>
      <c r="K10" s="7">
        <v>39</v>
      </c>
      <c r="L10" s="9">
        <f>I10*(K10/K5)</f>
        <v>50470.975571840907</v>
      </c>
      <c r="M10" s="9">
        <f t="shared" si="4"/>
        <v>55700</v>
      </c>
      <c r="N10" s="5">
        <v>2.7E-2</v>
      </c>
      <c r="O10" s="9">
        <f>43256+44</f>
        <v>43300</v>
      </c>
      <c r="P10" s="9">
        <f>12262.07+137.93</f>
        <v>12400</v>
      </c>
      <c r="Q10" s="4">
        <f t="shared" si="5"/>
        <v>55700</v>
      </c>
      <c r="R10" s="27">
        <f t="shared" si="6"/>
        <v>43300</v>
      </c>
      <c r="S10" s="27">
        <f t="shared" si="7"/>
        <v>12400</v>
      </c>
      <c r="T10" s="19">
        <f>43300-R10</f>
        <v>0</v>
      </c>
      <c r="U10" s="19">
        <f>12400-S10</f>
        <v>0</v>
      </c>
    </row>
    <row r="11" spans="1:21" ht="21" customHeight="1" x14ac:dyDescent="0.25">
      <c r="A11" s="7" t="s">
        <v>16</v>
      </c>
      <c r="B11" s="1" t="s">
        <v>17</v>
      </c>
      <c r="C11" s="1" t="s">
        <v>15</v>
      </c>
      <c r="D11" s="9">
        <v>664103.17000000004</v>
      </c>
      <c r="E11" s="9">
        <f t="shared" si="1"/>
        <v>498077.37750000006</v>
      </c>
      <c r="F11" s="9">
        <v>175157.21</v>
      </c>
      <c r="G11" s="9">
        <f t="shared" si="2"/>
        <v>673234.58750000002</v>
      </c>
      <c r="H11" s="2">
        <v>1.302</v>
      </c>
      <c r="I11" s="6">
        <f t="shared" si="3"/>
        <v>876551.43292500009</v>
      </c>
      <c r="J11" s="7">
        <v>11</v>
      </c>
      <c r="K11" s="7">
        <v>11</v>
      </c>
      <c r="L11" s="9">
        <f>I11*(K11/K5)</f>
        <v>14235.403366416665</v>
      </c>
      <c r="M11" s="9">
        <f t="shared" si="4"/>
        <v>15800</v>
      </c>
      <c r="N11" s="5">
        <v>8.0000000000000002E-3</v>
      </c>
      <c r="O11" s="9">
        <f>12200.41-0.41</f>
        <v>12200</v>
      </c>
      <c r="P11" s="9">
        <f>3458.53+141.47</f>
        <v>3600</v>
      </c>
      <c r="Q11" s="4">
        <f t="shared" si="5"/>
        <v>15800</v>
      </c>
      <c r="R11" s="27">
        <f t="shared" si="6"/>
        <v>12200</v>
      </c>
      <c r="S11" s="27">
        <f t="shared" si="7"/>
        <v>3600</v>
      </c>
      <c r="T11" s="19">
        <f>12200-R11</f>
        <v>0</v>
      </c>
      <c r="U11" s="19">
        <f>3600-S11</f>
        <v>0</v>
      </c>
    </row>
    <row r="12" spans="1:21" ht="19.5" customHeight="1" x14ac:dyDescent="0.25">
      <c r="A12" s="33" t="s">
        <v>18</v>
      </c>
      <c r="B12" s="34" t="s">
        <v>19</v>
      </c>
      <c r="C12" s="34" t="s">
        <v>15</v>
      </c>
      <c r="D12" s="35">
        <v>664103.17000000004</v>
      </c>
      <c r="E12" s="35"/>
      <c r="F12" s="35"/>
      <c r="G12" s="35"/>
      <c r="H12" s="36">
        <v>1.302</v>
      </c>
      <c r="I12" s="37">
        <f t="shared" si="3"/>
        <v>0</v>
      </c>
      <c r="J12" s="38">
        <v>0</v>
      </c>
      <c r="K12" s="38">
        <v>0</v>
      </c>
      <c r="L12" s="35">
        <v>0</v>
      </c>
      <c r="M12" s="35">
        <f t="shared" si="4"/>
        <v>0</v>
      </c>
      <c r="N12" s="37">
        <v>0</v>
      </c>
      <c r="O12" s="35">
        <v>0</v>
      </c>
      <c r="P12" s="35">
        <v>0</v>
      </c>
      <c r="Q12" s="39">
        <f t="shared" si="5"/>
        <v>0</v>
      </c>
      <c r="R12" s="27"/>
      <c r="S12" s="27"/>
    </row>
    <row r="13" spans="1:21" ht="21.75" customHeight="1" x14ac:dyDescent="0.25">
      <c r="A13" s="33" t="s">
        <v>20</v>
      </c>
      <c r="B13" s="34" t="s">
        <v>21</v>
      </c>
      <c r="C13" s="34" t="s">
        <v>22</v>
      </c>
      <c r="D13" s="35">
        <v>664103.17000000004</v>
      </c>
      <c r="E13" s="35"/>
      <c r="F13" s="35"/>
      <c r="G13" s="35"/>
      <c r="H13" s="36">
        <v>1.302</v>
      </c>
      <c r="I13" s="37">
        <f t="shared" si="3"/>
        <v>0</v>
      </c>
      <c r="J13" s="33">
        <v>0</v>
      </c>
      <c r="K13" s="33">
        <v>0</v>
      </c>
      <c r="L13" s="35">
        <f>I13*(K13/K5)</f>
        <v>0</v>
      </c>
      <c r="M13" s="35">
        <v>0</v>
      </c>
      <c r="N13" s="37">
        <v>0</v>
      </c>
      <c r="O13" s="35">
        <v>0</v>
      </c>
      <c r="P13" s="35">
        <v>0</v>
      </c>
      <c r="Q13" s="39">
        <f t="shared" si="5"/>
        <v>0</v>
      </c>
      <c r="R13" s="27"/>
      <c r="S13" s="27"/>
    </row>
    <row r="14" spans="1:21" ht="30" customHeight="1" x14ac:dyDescent="0.25">
      <c r="A14" s="13"/>
      <c r="B14" s="13"/>
      <c r="C14" s="13"/>
      <c r="D14" s="13"/>
      <c r="E14" s="15"/>
      <c r="F14" s="15"/>
      <c r="G14" s="15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5"/>
      <c r="S14" s="15"/>
    </row>
    <row r="15" spans="1:21" ht="33" customHeight="1" x14ac:dyDescent="0.25">
      <c r="A15" s="32" t="s">
        <v>28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26"/>
      <c r="S15" s="26"/>
    </row>
    <row r="16" spans="1:21" ht="114.75" customHeight="1" x14ac:dyDescent="0.25">
      <c r="A16" s="14"/>
      <c r="B16" s="14"/>
      <c r="C16" s="14" t="s">
        <v>0</v>
      </c>
      <c r="D16" s="14" t="s">
        <v>1</v>
      </c>
      <c r="E16" s="14" t="s">
        <v>29</v>
      </c>
      <c r="F16" s="14" t="s">
        <v>30</v>
      </c>
      <c r="G16" s="14" t="s">
        <v>31</v>
      </c>
      <c r="H16" s="14" t="s">
        <v>36</v>
      </c>
      <c r="I16" s="14" t="s">
        <v>37</v>
      </c>
      <c r="J16" s="14" t="s">
        <v>38</v>
      </c>
      <c r="K16" s="14" t="s">
        <v>2</v>
      </c>
      <c r="L16" s="14" t="s">
        <v>23</v>
      </c>
      <c r="M16" s="29" t="s">
        <v>32</v>
      </c>
      <c r="N16" s="14" t="s">
        <v>33</v>
      </c>
      <c r="O16" s="30" t="s">
        <v>35</v>
      </c>
      <c r="P16" s="30" t="s">
        <v>34</v>
      </c>
      <c r="Q16" s="14" t="s">
        <v>3</v>
      </c>
      <c r="R16" s="22"/>
      <c r="S16" s="22"/>
    </row>
    <row r="17" spans="1:20" ht="15.75" x14ac:dyDescent="0.25">
      <c r="A17" s="17" t="s">
        <v>4</v>
      </c>
      <c r="B17" s="17"/>
      <c r="C17" s="1"/>
      <c r="D17" s="1"/>
      <c r="E17" s="1"/>
      <c r="F17" s="1"/>
      <c r="G17" s="1"/>
      <c r="H17" s="2"/>
      <c r="I17" s="2"/>
      <c r="J17" s="3">
        <f>J18+J19</f>
        <v>1055</v>
      </c>
      <c r="K17" s="3">
        <v>677.33</v>
      </c>
      <c r="L17" s="4">
        <f>SUM(L20:L25)</f>
        <v>901855.80857378221</v>
      </c>
      <c r="M17" s="4">
        <f>SUM(M20:M25)</f>
        <v>993000</v>
      </c>
      <c r="N17" s="20">
        <f>N20+N21+N22+N23</f>
        <v>0.48299999999999998</v>
      </c>
      <c r="O17" s="4">
        <f>O20+O21+O22+O23+O24+O25</f>
        <v>773000</v>
      </c>
      <c r="P17" s="4">
        <f t="shared" ref="P17" si="8">P20+P21+P22+P23+P24+P25</f>
        <v>220000</v>
      </c>
      <c r="Q17" s="4">
        <f>Q20+Q21+Q22+Q23+Q24+Q25</f>
        <v>993000</v>
      </c>
      <c r="R17" s="22"/>
      <c r="S17" s="22"/>
    </row>
    <row r="18" spans="1:20" ht="31.5" customHeight="1" x14ac:dyDescent="0.25">
      <c r="A18" s="17"/>
      <c r="B18" s="1" t="s">
        <v>5</v>
      </c>
      <c r="C18" s="1"/>
      <c r="D18" s="1"/>
      <c r="E18" s="1"/>
      <c r="F18" s="1"/>
      <c r="G18" s="1"/>
      <c r="H18" s="2"/>
      <c r="I18" s="2"/>
      <c r="J18" s="7">
        <v>391</v>
      </c>
      <c r="K18" s="7"/>
      <c r="L18" s="8"/>
      <c r="M18" s="8"/>
      <c r="N18" s="6"/>
      <c r="O18" s="9"/>
      <c r="P18" s="6"/>
      <c r="Q18" s="6"/>
      <c r="R18" s="22"/>
      <c r="S18" s="22"/>
    </row>
    <row r="19" spans="1:20" ht="34.5" customHeight="1" x14ac:dyDescent="0.25">
      <c r="A19" s="17"/>
      <c r="B19" s="1" t="s">
        <v>6</v>
      </c>
      <c r="C19" s="1"/>
      <c r="D19" s="1"/>
      <c r="E19" s="1"/>
      <c r="F19" s="1"/>
      <c r="G19" s="1"/>
      <c r="H19" s="2"/>
      <c r="I19" s="2"/>
      <c r="J19" s="7">
        <f>J20+J21+J22+J23+J24+J25</f>
        <v>664</v>
      </c>
      <c r="K19" s="7">
        <f>K20+K21+K22+K23+K24+K25</f>
        <v>664</v>
      </c>
      <c r="L19" s="8"/>
      <c r="M19" s="8"/>
      <c r="N19" s="6"/>
      <c r="O19" s="6">
        <f>O17</f>
        <v>773000</v>
      </c>
      <c r="P19" s="6">
        <f>P17</f>
        <v>220000</v>
      </c>
      <c r="Q19" s="31"/>
      <c r="R19" s="23"/>
      <c r="S19" s="23"/>
    </row>
    <row r="20" spans="1:20" ht="15.75" x14ac:dyDescent="0.25">
      <c r="A20" s="7" t="s">
        <v>7</v>
      </c>
      <c r="B20" s="1" t="s">
        <v>8</v>
      </c>
      <c r="C20" s="1" t="s">
        <v>9</v>
      </c>
      <c r="D20" s="9">
        <v>709222.71</v>
      </c>
      <c r="E20" s="9">
        <f>D20/12*9</f>
        <v>531917.03249999997</v>
      </c>
      <c r="F20" s="9">
        <v>187057.49</v>
      </c>
      <c r="G20" s="9">
        <f>E20+F20</f>
        <v>718974.52249999996</v>
      </c>
      <c r="H20" s="2">
        <v>1.302</v>
      </c>
      <c r="I20" s="6">
        <f>(G20*30.2%)+G20</f>
        <v>936104.8282949999</v>
      </c>
      <c r="J20" s="7">
        <v>484</v>
      </c>
      <c r="K20" s="7">
        <v>484</v>
      </c>
      <c r="L20" s="9">
        <f>I20*(K20/K17)</f>
        <v>668912.84439605498</v>
      </c>
      <c r="M20" s="9">
        <f>Q20</f>
        <v>736300</v>
      </c>
      <c r="N20" s="5">
        <v>0.35799999999999998</v>
      </c>
      <c r="O20" s="9">
        <f>573289.75+10.25</f>
        <v>573300</v>
      </c>
      <c r="P20" s="9">
        <f>162514.38+485.62</f>
        <v>163000</v>
      </c>
      <c r="Q20" s="4">
        <f>O20+P20</f>
        <v>736300</v>
      </c>
      <c r="R20" s="24"/>
      <c r="S20" s="24"/>
    </row>
    <row r="21" spans="1:20" ht="15.75" x14ac:dyDescent="0.25">
      <c r="A21" s="7" t="s">
        <v>10</v>
      </c>
      <c r="B21" s="1" t="s">
        <v>11</v>
      </c>
      <c r="C21" s="1" t="s">
        <v>12</v>
      </c>
      <c r="D21" s="9">
        <v>664103.17000000004</v>
      </c>
      <c r="E21" s="9">
        <f t="shared" ref="E21:E23" si="9">D21/12*9</f>
        <v>498077.37750000006</v>
      </c>
      <c r="F21" s="9">
        <v>175157.21</v>
      </c>
      <c r="G21" s="9">
        <f t="shared" ref="G21:G23" si="10">E21+F21</f>
        <v>673234.58750000002</v>
      </c>
      <c r="H21" s="2">
        <v>1.302</v>
      </c>
      <c r="I21" s="6">
        <f t="shared" ref="I21:I25" si="11">(G21*30.2%)+G21</f>
        <v>876551.43292500009</v>
      </c>
      <c r="J21" s="7">
        <v>130</v>
      </c>
      <c r="K21" s="7">
        <v>130</v>
      </c>
      <c r="L21" s="9">
        <f>I21*(K21/K17)</f>
        <v>168236.58523946968</v>
      </c>
      <c r="M21" s="9">
        <f t="shared" ref="M21:M24" si="12">Q21</f>
        <v>185200</v>
      </c>
      <c r="N21" s="5">
        <v>0.09</v>
      </c>
      <c r="O21" s="9">
        <f>144186.66+13.34</f>
        <v>144200</v>
      </c>
      <c r="P21" s="9">
        <f>40873.58+126.42</f>
        <v>41000</v>
      </c>
      <c r="Q21" s="4">
        <f t="shared" ref="Q21:Q25" si="13">O21+P21</f>
        <v>185200</v>
      </c>
      <c r="R21" s="25"/>
      <c r="S21" s="25"/>
    </row>
    <row r="22" spans="1:20" ht="15.75" x14ac:dyDescent="0.25">
      <c r="A22" s="7" t="s">
        <v>13</v>
      </c>
      <c r="B22" s="1" t="s">
        <v>14</v>
      </c>
      <c r="C22" s="1" t="s">
        <v>15</v>
      </c>
      <c r="D22" s="9">
        <v>664103.17000000004</v>
      </c>
      <c r="E22" s="9">
        <f t="shared" si="9"/>
        <v>498077.37750000006</v>
      </c>
      <c r="F22" s="9">
        <v>175157.21</v>
      </c>
      <c r="G22" s="9">
        <f t="shared" si="10"/>
        <v>673234.58750000002</v>
      </c>
      <c r="H22" s="2">
        <v>1.302</v>
      </c>
      <c r="I22" s="6">
        <f t="shared" si="11"/>
        <v>876551.43292500009</v>
      </c>
      <c r="J22" s="7">
        <v>39</v>
      </c>
      <c r="K22" s="7">
        <v>39</v>
      </c>
      <c r="L22" s="9">
        <f>I22*(K22/K17)</f>
        <v>50470.975571840907</v>
      </c>
      <c r="M22" s="9">
        <f t="shared" si="12"/>
        <v>55700</v>
      </c>
      <c r="N22" s="5">
        <v>2.7E-2</v>
      </c>
      <c r="O22" s="9">
        <f>43256+44</f>
        <v>43300</v>
      </c>
      <c r="P22" s="9">
        <f>12262.07+137.93</f>
        <v>12400</v>
      </c>
      <c r="Q22" s="4">
        <f t="shared" si="13"/>
        <v>55700</v>
      </c>
      <c r="R22" s="23"/>
      <c r="S22" s="23"/>
    </row>
    <row r="23" spans="1:20" ht="15.75" x14ac:dyDescent="0.25">
      <c r="A23" s="7" t="s">
        <v>16</v>
      </c>
      <c r="B23" s="1" t="s">
        <v>17</v>
      </c>
      <c r="C23" s="1" t="s">
        <v>15</v>
      </c>
      <c r="D23" s="9">
        <v>664103.17000000004</v>
      </c>
      <c r="E23" s="9">
        <f t="shared" si="9"/>
        <v>498077.37750000006</v>
      </c>
      <c r="F23" s="9">
        <v>175157.21</v>
      </c>
      <c r="G23" s="9">
        <f t="shared" si="10"/>
        <v>673234.58750000002</v>
      </c>
      <c r="H23" s="2">
        <v>1.302</v>
      </c>
      <c r="I23" s="6">
        <f t="shared" si="11"/>
        <v>876551.43292500009</v>
      </c>
      <c r="J23" s="7">
        <v>11</v>
      </c>
      <c r="K23" s="7">
        <v>11</v>
      </c>
      <c r="L23" s="9">
        <f>I23*(K23/K17)</f>
        <v>14235.403366416665</v>
      </c>
      <c r="M23" s="9">
        <f t="shared" si="12"/>
        <v>15800</v>
      </c>
      <c r="N23" s="5">
        <v>8.0000000000000002E-3</v>
      </c>
      <c r="O23" s="9">
        <f>12200.41-0.41</f>
        <v>12200</v>
      </c>
      <c r="P23" s="9">
        <f>3458.53+141.47</f>
        <v>3600</v>
      </c>
      <c r="Q23" s="4">
        <f t="shared" si="13"/>
        <v>15800</v>
      </c>
      <c r="R23" s="23"/>
      <c r="S23" s="23"/>
    </row>
    <row r="24" spans="1:20" ht="15.75" x14ac:dyDescent="0.25">
      <c r="A24" s="33" t="s">
        <v>18</v>
      </c>
      <c r="B24" s="34" t="s">
        <v>19</v>
      </c>
      <c r="C24" s="34" t="s">
        <v>15</v>
      </c>
      <c r="D24" s="35">
        <v>664103.17000000004</v>
      </c>
      <c r="E24" s="35"/>
      <c r="F24" s="35"/>
      <c r="G24" s="35"/>
      <c r="H24" s="36">
        <v>1.302</v>
      </c>
      <c r="I24" s="37">
        <f t="shared" si="11"/>
        <v>0</v>
      </c>
      <c r="J24" s="38">
        <v>0</v>
      </c>
      <c r="K24" s="38">
        <v>0</v>
      </c>
      <c r="L24" s="35">
        <v>0</v>
      </c>
      <c r="M24" s="35">
        <f t="shared" si="12"/>
        <v>0</v>
      </c>
      <c r="N24" s="37">
        <v>0</v>
      </c>
      <c r="O24" s="35">
        <v>0</v>
      </c>
      <c r="P24" s="35">
        <v>0</v>
      </c>
      <c r="Q24" s="39">
        <f t="shared" si="13"/>
        <v>0</v>
      </c>
      <c r="R24" s="23"/>
      <c r="S24" s="23"/>
    </row>
    <row r="25" spans="1:20" ht="15.75" x14ac:dyDescent="0.25">
      <c r="A25" s="33" t="s">
        <v>20</v>
      </c>
      <c r="B25" s="34" t="s">
        <v>21</v>
      </c>
      <c r="C25" s="34" t="s">
        <v>22</v>
      </c>
      <c r="D25" s="35">
        <v>664103.17000000004</v>
      </c>
      <c r="E25" s="35"/>
      <c r="F25" s="35"/>
      <c r="G25" s="35"/>
      <c r="H25" s="36">
        <v>1.302</v>
      </c>
      <c r="I25" s="37">
        <f t="shared" si="11"/>
        <v>0</v>
      </c>
      <c r="J25" s="33">
        <v>0</v>
      </c>
      <c r="K25" s="33">
        <v>0</v>
      </c>
      <c r="L25" s="35">
        <f>I25*(K25/K17)</f>
        <v>0</v>
      </c>
      <c r="M25" s="35">
        <v>0</v>
      </c>
      <c r="N25" s="37">
        <v>0</v>
      </c>
      <c r="O25" s="35">
        <v>0</v>
      </c>
      <c r="P25" s="35">
        <v>0</v>
      </c>
      <c r="Q25" s="39">
        <f t="shared" si="13"/>
        <v>0</v>
      </c>
      <c r="R25" s="23"/>
      <c r="S25" s="23"/>
    </row>
    <row r="27" spans="1:20" x14ac:dyDescent="0.25">
      <c r="A27" s="11" t="s">
        <v>24</v>
      </c>
      <c r="L27" s="12"/>
      <c r="M27" s="12"/>
      <c r="N27" s="12"/>
      <c r="O27" s="12"/>
      <c r="P27" s="12"/>
      <c r="Q27" s="12"/>
      <c r="R27" s="12"/>
      <c r="S27" s="12"/>
      <c r="T27" s="12"/>
    </row>
    <row r="28" spans="1:20" ht="48" customHeight="1" x14ac:dyDescent="0.25">
      <c r="A28" s="18" t="s">
        <v>25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</row>
  </sheetData>
  <mergeCells count="8">
    <mergeCell ref="A6:A7"/>
    <mergeCell ref="A3:Q3"/>
    <mergeCell ref="A15:Q15"/>
    <mergeCell ref="A28:T28"/>
    <mergeCell ref="A17:B17"/>
    <mergeCell ref="A18:A19"/>
    <mergeCell ref="A2:Q2"/>
    <mergeCell ref="A5:B5"/>
  </mergeCells>
  <pageMargins left="0.19685039370078741" right="0.19685039370078741" top="0.19685039370078741" bottom="0.19685039370078741" header="0" footer="0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Ольга Владимировна</dc:creator>
  <cp:lastModifiedBy>Созинова Олеся Амировна</cp:lastModifiedBy>
  <cp:lastPrinted>2022-10-26T04:36:02Z</cp:lastPrinted>
  <dcterms:created xsi:type="dcterms:W3CDTF">2020-10-22T11:08:15Z</dcterms:created>
  <dcterms:modified xsi:type="dcterms:W3CDTF">2022-10-26T05:28:27Z</dcterms:modified>
</cp:coreProperties>
</file>